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財政局\03財政課\share\170_受益者負担の適正化\010_受益者負担の適正化\2021（R3）年度\010_調査・公表（主にかっきー）\050_公表準備\003_公表資料\公表用 （ファイル種類変更後）\"/>
    </mc:Choice>
  </mc:AlternateContent>
  <bookViews>
    <workbookView xWindow="0" yWindow="0" windowWidth="28800" windowHeight="12795" activeTab="4"/>
  </bookViews>
  <sheets>
    <sheet name="令和２年度決算(施設)" sheetId="1" r:id="rId1"/>
    <sheet name="25年度決算" sheetId="2" state="hidden" r:id="rId2"/>
    <sheet name="24年度決算" sheetId="3" state="hidden" r:id="rId3"/>
    <sheet name="23年度決算（参考・公表済み）" sheetId="4" state="hidden" r:id="rId4"/>
    <sheet name="凡例（施設）" sheetId="5" r:id="rId5"/>
  </sheets>
  <definedNames>
    <definedName name="_xlnm._FilterDatabase" localSheetId="3" hidden="1">'23年度決算（参考・公表済み）'!$B$3:$L$64</definedName>
    <definedName name="_xlnm._FilterDatabase" localSheetId="2" hidden="1">'24年度決算'!$B$3:$L$64</definedName>
    <definedName name="_xlnm._FilterDatabase" localSheetId="1" hidden="1">'25年度決算'!$B$3:$L$64</definedName>
    <definedName name="_xlnm._FilterDatabase" localSheetId="4" hidden="1">'凡例（施設）'!$B$3:$L$5</definedName>
    <definedName name="_xlnm._FilterDatabase" localSheetId="0" hidden="1">'令和２年度決算(施設)'!$A$5:$N$60</definedName>
    <definedName name="_xlnm.Print_Area" localSheetId="3">'23年度決算（参考・公表済み）'!$A$1:$M$72</definedName>
    <definedName name="_xlnm.Print_Area" localSheetId="2">'24年度決算'!$A$1:$M$72</definedName>
    <definedName name="_xlnm.Print_Area" localSheetId="4">'凡例（施設）'!$A$1:$O$39</definedName>
    <definedName name="_xlnm.Print_Area" localSheetId="0">'令和２年度決算(施設)'!$A$1:$N$65</definedName>
    <definedName name="_xlnm.Print_Titles" localSheetId="3">'23年度決算（参考・公表済み）'!$B:$C,'23年度決算（参考・公表済み）'!$3:$4</definedName>
    <definedName name="_xlnm.Print_Titles" localSheetId="2">'24年度決算'!$B:$C,'24年度決算'!$3:$4</definedName>
    <definedName name="_xlnm.Print_Titles" localSheetId="4">'凡例（施設）'!$B:$C,'凡例（施設）'!$3:$4</definedName>
    <definedName name="_xlnm.Print_Titles" localSheetId="0">'令和２年度決算(施設)'!$4:$5</definedName>
    <definedName name="Z_044D20CE_B695_4BC1_A3B0_D60A68B6D73D_.wvu.Cols" localSheetId="0" hidden="1">'令和２年度決算(施設)'!#REF!,'令和２年度決算(施設)'!#REF!,'令和２年度決算(施設)'!#REF!,'令和２年度決算(施設)'!#REF!</definedName>
    <definedName name="Z_044D20CE_B695_4BC1_A3B0_D60A68B6D73D_.wvu.FilterData" localSheetId="3" hidden="1">'23年度決算（参考・公表済み）'!$B$3:$L$64</definedName>
    <definedName name="Z_044D20CE_B695_4BC1_A3B0_D60A68B6D73D_.wvu.FilterData" localSheetId="2" hidden="1">'24年度決算'!$B$3:$L$64</definedName>
    <definedName name="Z_044D20CE_B695_4BC1_A3B0_D60A68B6D73D_.wvu.FilterData" localSheetId="1" hidden="1">'25年度決算'!$B$3:$L$64</definedName>
    <definedName name="Z_044D20CE_B695_4BC1_A3B0_D60A68B6D73D_.wvu.FilterData" localSheetId="4" hidden="1">'凡例（施設）'!$B$3:$L$5</definedName>
    <definedName name="Z_044D20CE_B695_4BC1_A3B0_D60A68B6D73D_.wvu.FilterData" localSheetId="0" hidden="1">'令和２年度決算(施設)'!$A$5:$N$5</definedName>
    <definedName name="Z_044D20CE_B695_4BC1_A3B0_D60A68B6D73D_.wvu.PrintArea" localSheetId="3" hidden="1">'23年度決算（参考・公表済み）'!$A$1:$M$72</definedName>
    <definedName name="Z_044D20CE_B695_4BC1_A3B0_D60A68B6D73D_.wvu.PrintArea" localSheetId="2" hidden="1">'24年度決算'!$A$1:$M$72</definedName>
    <definedName name="Z_044D20CE_B695_4BC1_A3B0_D60A68B6D73D_.wvu.PrintArea" localSheetId="1" hidden="1">'25年度決算'!$A$1:$M$72</definedName>
    <definedName name="Z_044D20CE_B695_4BC1_A3B0_D60A68B6D73D_.wvu.PrintArea" localSheetId="4" hidden="1">'凡例（施設）'!$A$1:$L$39</definedName>
    <definedName name="Z_044D20CE_B695_4BC1_A3B0_D60A68B6D73D_.wvu.PrintArea" localSheetId="0" hidden="1">'令和２年度決算(施設)'!$A$1:$N$68</definedName>
    <definedName name="Z_044D20CE_B695_4BC1_A3B0_D60A68B6D73D_.wvu.PrintTitles" localSheetId="3" hidden="1">'23年度決算（参考・公表済み）'!$B:$C,'23年度決算（参考・公表済み）'!$3:$4</definedName>
    <definedName name="Z_044D20CE_B695_4BC1_A3B0_D60A68B6D73D_.wvu.PrintTitles" localSheetId="2" hidden="1">'24年度決算'!$B:$C,'24年度決算'!$3:$4</definedName>
    <definedName name="Z_044D20CE_B695_4BC1_A3B0_D60A68B6D73D_.wvu.PrintTitles" localSheetId="1" hidden="1">'25年度決算'!$B:$C,'25年度決算'!$3:$4</definedName>
    <definedName name="Z_044D20CE_B695_4BC1_A3B0_D60A68B6D73D_.wvu.PrintTitles" localSheetId="4" hidden="1">'凡例（施設）'!$B:$C,'凡例（施設）'!$3:$4</definedName>
    <definedName name="Z_044D20CE_B695_4BC1_A3B0_D60A68B6D73D_.wvu.PrintTitles" localSheetId="0" hidden="1">'令和２年度決算(施設)'!$B:$C,'令和２年度決算(施設)'!$4:$5</definedName>
    <definedName name="Z_059B7AB1_A73C_4BC5_991D_327B0179F92D_.wvu.Cols" localSheetId="0" hidden="1">'令和２年度決算(施設)'!#REF!,'令和２年度決算(施設)'!#REF!,'令和２年度決算(施設)'!#REF!,'令和２年度決算(施設)'!#REF!</definedName>
    <definedName name="Z_059B7AB1_A73C_4BC5_991D_327B0179F92D_.wvu.FilterData" localSheetId="3" hidden="1">'23年度決算（参考・公表済み）'!$B$3:$L$64</definedName>
    <definedName name="Z_059B7AB1_A73C_4BC5_991D_327B0179F92D_.wvu.FilterData" localSheetId="2" hidden="1">'24年度決算'!$B$3:$L$64</definedName>
    <definedName name="Z_059B7AB1_A73C_4BC5_991D_327B0179F92D_.wvu.FilterData" localSheetId="1" hidden="1">'25年度決算'!$B$3:$L$64</definedName>
    <definedName name="Z_059B7AB1_A73C_4BC5_991D_327B0179F92D_.wvu.FilterData" localSheetId="4" hidden="1">'凡例（施設）'!$B$3:$L$5</definedName>
    <definedName name="Z_059B7AB1_A73C_4BC5_991D_327B0179F92D_.wvu.FilterData" localSheetId="0" hidden="1">'令和２年度決算(施設)'!$A$5:$N$60</definedName>
    <definedName name="Z_059B7AB1_A73C_4BC5_991D_327B0179F92D_.wvu.PrintArea" localSheetId="3" hidden="1">'23年度決算（参考・公表済み）'!$A$1:$M$72</definedName>
    <definedName name="Z_059B7AB1_A73C_4BC5_991D_327B0179F92D_.wvu.PrintArea" localSheetId="2" hidden="1">'24年度決算'!$A$1:$M$72</definedName>
    <definedName name="Z_059B7AB1_A73C_4BC5_991D_327B0179F92D_.wvu.PrintArea" localSheetId="4" hidden="1">'凡例（施設）'!$A$1:$L$39</definedName>
    <definedName name="Z_059B7AB1_A73C_4BC5_991D_327B0179F92D_.wvu.PrintTitles" localSheetId="3" hidden="1">'23年度決算（参考・公表済み）'!$B:$C,'23年度決算（参考・公表済み）'!$3:$4</definedName>
    <definedName name="Z_059B7AB1_A73C_4BC5_991D_327B0179F92D_.wvu.PrintTitles" localSheetId="2" hidden="1">'24年度決算'!$B:$C,'24年度決算'!$3:$4</definedName>
    <definedName name="Z_059B7AB1_A73C_4BC5_991D_327B0179F92D_.wvu.PrintTitles" localSheetId="4" hidden="1">'凡例（施設）'!$B:$C,'凡例（施設）'!$3:$4</definedName>
    <definedName name="Z_0A60D169_EA4D_42F0_A2F3_528073C1F4D5_.wvu.Cols" localSheetId="0" hidden="1">'令和２年度決算(施設)'!#REF!,'令和２年度決算(施設)'!#REF!,'令和２年度決算(施設)'!#REF!,'令和２年度決算(施設)'!#REF!</definedName>
    <definedName name="Z_0A60D169_EA4D_42F0_A2F3_528073C1F4D5_.wvu.FilterData" localSheetId="3" hidden="1">'23年度決算（参考・公表済み）'!$B$3:$L$64</definedName>
    <definedName name="Z_0A60D169_EA4D_42F0_A2F3_528073C1F4D5_.wvu.FilterData" localSheetId="2" hidden="1">'24年度決算'!$B$3:$L$64</definedName>
    <definedName name="Z_0A60D169_EA4D_42F0_A2F3_528073C1F4D5_.wvu.FilterData" localSheetId="1" hidden="1">'25年度決算'!$B$3:$L$64</definedName>
    <definedName name="Z_0A60D169_EA4D_42F0_A2F3_528073C1F4D5_.wvu.FilterData" localSheetId="4" hidden="1">'凡例（施設）'!$B$3:$L$5</definedName>
    <definedName name="Z_0A60D169_EA4D_42F0_A2F3_528073C1F4D5_.wvu.FilterData" localSheetId="0" hidden="1">'令和２年度決算(施設)'!$A$5:$N$60</definedName>
    <definedName name="Z_0A60D169_EA4D_42F0_A2F3_528073C1F4D5_.wvu.PrintArea" localSheetId="3" hidden="1">'23年度決算（参考・公表済み）'!$A$1:$M$72</definedName>
    <definedName name="Z_0A60D169_EA4D_42F0_A2F3_528073C1F4D5_.wvu.PrintArea" localSheetId="2" hidden="1">'24年度決算'!$A$1:$M$72</definedName>
    <definedName name="Z_0A60D169_EA4D_42F0_A2F3_528073C1F4D5_.wvu.PrintArea" localSheetId="4" hidden="1">'凡例（施設）'!$A$1:$L$39</definedName>
    <definedName name="Z_0A60D169_EA4D_42F0_A2F3_528073C1F4D5_.wvu.PrintTitles" localSheetId="3" hidden="1">'23年度決算（参考・公表済み）'!$B:$C,'23年度決算（参考・公表済み）'!$3:$4</definedName>
    <definedName name="Z_0A60D169_EA4D_42F0_A2F3_528073C1F4D5_.wvu.PrintTitles" localSheetId="2" hidden="1">'24年度決算'!$B:$C,'24年度決算'!$3:$4</definedName>
    <definedName name="Z_0A60D169_EA4D_42F0_A2F3_528073C1F4D5_.wvu.PrintTitles" localSheetId="4" hidden="1">'凡例（施設）'!$B:$C,'凡例（施設）'!$3:$4</definedName>
    <definedName name="Z_0BB2ECCB_433A_478D_BC68_8EAEF57773B0_.wvu.Cols" localSheetId="0" hidden="1">'令和２年度決算(施設)'!#REF!,'令和２年度決算(施設)'!#REF!,'令和２年度決算(施設)'!#REF!,'令和２年度決算(施設)'!#REF!</definedName>
    <definedName name="Z_0BB2ECCB_433A_478D_BC68_8EAEF57773B0_.wvu.FilterData" localSheetId="3" hidden="1">'23年度決算（参考・公表済み）'!$B$3:$L$64</definedName>
    <definedName name="Z_0BB2ECCB_433A_478D_BC68_8EAEF57773B0_.wvu.FilterData" localSheetId="2" hidden="1">'24年度決算'!$B$3:$L$64</definedName>
    <definedName name="Z_0BB2ECCB_433A_478D_BC68_8EAEF57773B0_.wvu.FilterData" localSheetId="1" hidden="1">'25年度決算'!$B$3:$L$64</definedName>
    <definedName name="Z_0BB2ECCB_433A_478D_BC68_8EAEF57773B0_.wvu.FilterData" localSheetId="4" hidden="1">'凡例（施設）'!$B$3:$L$5</definedName>
    <definedName name="Z_0BB2ECCB_433A_478D_BC68_8EAEF57773B0_.wvu.FilterData" localSheetId="0" hidden="1">'令和２年度決算(施設)'!$A$4:$N$60</definedName>
    <definedName name="Z_0BB2ECCB_433A_478D_BC68_8EAEF57773B0_.wvu.PrintArea" localSheetId="3" hidden="1">'23年度決算（参考・公表済み）'!$A$1:$M$72</definedName>
    <definedName name="Z_0BB2ECCB_433A_478D_BC68_8EAEF57773B0_.wvu.PrintArea" localSheetId="2" hidden="1">'24年度決算'!$A$1:$M$72</definedName>
    <definedName name="Z_0BB2ECCB_433A_478D_BC68_8EAEF57773B0_.wvu.PrintArea" localSheetId="1" hidden="1">'25年度決算'!$A$1:$M$72</definedName>
    <definedName name="Z_0BB2ECCB_433A_478D_BC68_8EAEF57773B0_.wvu.PrintArea" localSheetId="4" hidden="1">'凡例（施設）'!$A$1:$L$39</definedName>
    <definedName name="Z_0BB2ECCB_433A_478D_BC68_8EAEF57773B0_.wvu.PrintArea" localSheetId="0" hidden="1">'令和２年度決算(施設)'!$A$1:$N$68</definedName>
    <definedName name="Z_0BB2ECCB_433A_478D_BC68_8EAEF57773B0_.wvu.PrintTitles" localSheetId="3" hidden="1">'23年度決算（参考・公表済み）'!$B:$C,'23年度決算（参考・公表済み）'!$3:$4</definedName>
    <definedName name="Z_0BB2ECCB_433A_478D_BC68_8EAEF57773B0_.wvu.PrintTitles" localSheetId="2" hidden="1">'24年度決算'!$B:$C,'24年度決算'!$3:$4</definedName>
    <definedName name="Z_0BB2ECCB_433A_478D_BC68_8EAEF57773B0_.wvu.PrintTitles" localSheetId="1" hidden="1">'25年度決算'!$B:$C,'25年度決算'!$3:$4</definedName>
    <definedName name="Z_0BB2ECCB_433A_478D_BC68_8EAEF57773B0_.wvu.PrintTitles" localSheetId="4" hidden="1">'凡例（施設）'!$B:$C,'凡例（施設）'!$3:$4</definedName>
    <definedName name="Z_0BB2ECCB_433A_478D_BC68_8EAEF57773B0_.wvu.PrintTitles" localSheetId="0" hidden="1">'令和２年度決算(施設)'!$B:$C,'令和２年度決算(施設)'!$4:$5</definedName>
    <definedName name="Z_11001B3E_87DD_4EEE_B290_3C58C59609F3_.wvu.FilterData" localSheetId="3" hidden="1">'23年度決算（参考・公表済み）'!$B$3:$L$64</definedName>
    <definedName name="Z_11001B3E_87DD_4EEE_B290_3C58C59609F3_.wvu.FilterData" localSheetId="2" hidden="1">'24年度決算'!$B$3:$L$64</definedName>
    <definedName name="Z_11001B3E_87DD_4EEE_B290_3C58C59609F3_.wvu.FilterData" localSheetId="1" hidden="1">'25年度決算'!$B$3:$L$64</definedName>
    <definedName name="Z_11001B3E_87DD_4EEE_B290_3C58C59609F3_.wvu.FilterData" localSheetId="4" hidden="1">'凡例（施設）'!$B$3:$L$5</definedName>
    <definedName name="Z_11001B3E_87DD_4EEE_B290_3C58C59609F3_.wvu.FilterData" localSheetId="0" hidden="1">'令和２年度決算(施設)'!$A$4:$N$60</definedName>
    <definedName name="Z_11001B3E_87DD_4EEE_B290_3C58C59609F3_.wvu.PrintArea" localSheetId="3" hidden="1">'23年度決算（参考・公表済み）'!$A$1:$M$72</definedName>
    <definedName name="Z_11001B3E_87DD_4EEE_B290_3C58C59609F3_.wvu.PrintArea" localSheetId="2" hidden="1">'24年度決算'!$A$1:$M$72</definedName>
    <definedName name="Z_11001B3E_87DD_4EEE_B290_3C58C59609F3_.wvu.PrintArea" localSheetId="1" hidden="1">'25年度決算'!$A$1:$M$72</definedName>
    <definedName name="Z_11001B3E_87DD_4EEE_B290_3C58C59609F3_.wvu.PrintArea" localSheetId="4" hidden="1">'凡例（施設）'!$A$1:$L$39</definedName>
    <definedName name="Z_11001B3E_87DD_4EEE_B290_3C58C59609F3_.wvu.PrintArea" localSheetId="0" hidden="1">'令和２年度決算(施設)'!$A$1:$N$68</definedName>
    <definedName name="Z_11001B3E_87DD_4EEE_B290_3C58C59609F3_.wvu.PrintTitles" localSheetId="3" hidden="1">'23年度決算（参考・公表済み）'!$B:$C,'23年度決算（参考・公表済み）'!$3:$4</definedName>
    <definedName name="Z_11001B3E_87DD_4EEE_B290_3C58C59609F3_.wvu.PrintTitles" localSheetId="2" hidden="1">'24年度決算'!$B:$C,'24年度決算'!$3:$4</definedName>
    <definedName name="Z_11001B3E_87DD_4EEE_B290_3C58C59609F3_.wvu.PrintTitles" localSheetId="1" hidden="1">'25年度決算'!$B:$C,'25年度決算'!$3:$4</definedName>
    <definedName name="Z_11001B3E_87DD_4EEE_B290_3C58C59609F3_.wvu.PrintTitles" localSheetId="4" hidden="1">'凡例（施設）'!$B:$C,'凡例（施設）'!$3:$4</definedName>
    <definedName name="Z_11001B3E_87DD_4EEE_B290_3C58C59609F3_.wvu.PrintTitles" localSheetId="0" hidden="1">'令和２年度決算(施設)'!$B:$C,'令和２年度決算(施設)'!$4:$5</definedName>
    <definedName name="Z_19095B01_EB70_4978_A824_089E8010321E_.wvu.Cols" localSheetId="0" hidden="1">'令和２年度決算(施設)'!#REF!,'令和２年度決算(施設)'!#REF!,'令和２年度決算(施設)'!#REF!,'令和２年度決算(施設)'!#REF!</definedName>
    <definedName name="Z_19095B01_EB70_4978_A824_089E8010321E_.wvu.FilterData" localSheetId="3" hidden="1">'23年度決算（参考・公表済み）'!$B$3:$L$64</definedName>
    <definedName name="Z_19095B01_EB70_4978_A824_089E8010321E_.wvu.FilterData" localSheetId="2" hidden="1">'24年度決算'!$B$3:$L$64</definedName>
    <definedName name="Z_19095B01_EB70_4978_A824_089E8010321E_.wvu.FilterData" localSheetId="1" hidden="1">'25年度決算'!$B$3:$L$64</definedName>
    <definedName name="Z_19095B01_EB70_4978_A824_089E8010321E_.wvu.FilterData" localSheetId="4" hidden="1">'凡例（施設）'!$B$3:$L$5</definedName>
    <definedName name="Z_19095B01_EB70_4978_A824_089E8010321E_.wvu.FilterData" localSheetId="0" hidden="1">'令和２年度決算(施設)'!$A$4:$N$60</definedName>
    <definedName name="Z_19095B01_EB70_4978_A824_089E8010321E_.wvu.PrintArea" localSheetId="3" hidden="1">'23年度決算（参考・公表済み）'!$A$1:$M$72</definedName>
    <definedName name="Z_19095B01_EB70_4978_A824_089E8010321E_.wvu.PrintArea" localSheetId="2" hidden="1">'24年度決算'!$A$1:$M$72</definedName>
    <definedName name="Z_19095B01_EB70_4978_A824_089E8010321E_.wvu.PrintArea" localSheetId="4" hidden="1">'凡例（施設）'!$A$1:$L$39</definedName>
    <definedName name="Z_19095B01_EB70_4978_A824_089E8010321E_.wvu.PrintTitles" localSheetId="3" hidden="1">'23年度決算（参考・公表済み）'!$B:$C,'23年度決算（参考・公表済み）'!$3:$4</definedName>
    <definedName name="Z_19095B01_EB70_4978_A824_089E8010321E_.wvu.PrintTitles" localSheetId="2" hidden="1">'24年度決算'!$B:$C,'24年度決算'!$3:$4</definedName>
    <definedName name="Z_19095B01_EB70_4978_A824_089E8010321E_.wvu.PrintTitles" localSheetId="4" hidden="1">'凡例（施設）'!$B:$C,'凡例（施設）'!$3:$4</definedName>
    <definedName name="Z_1ADEBCB8_9FB3_4DB2_BD49_E19DCBC61CF4_.wvu.FilterData" localSheetId="3" hidden="1">'23年度決算（参考・公表済み）'!$B$3:$L$64</definedName>
    <definedName name="Z_1ADEBCB8_9FB3_4DB2_BD49_E19DCBC61CF4_.wvu.FilterData" localSheetId="2" hidden="1">'24年度決算'!$B$3:$L$64</definedName>
    <definedName name="Z_1ADEBCB8_9FB3_4DB2_BD49_E19DCBC61CF4_.wvu.FilterData" localSheetId="1" hidden="1">'25年度決算'!$B$3:$L$64</definedName>
    <definedName name="Z_1ADEBCB8_9FB3_4DB2_BD49_E19DCBC61CF4_.wvu.FilterData" localSheetId="4" hidden="1">'凡例（施設）'!$B$3:$L$5</definedName>
    <definedName name="Z_1ADEBCB8_9FB3_4DB2_BD49_E19DCBC61CF4_.wvu.FilterData" localSheetId="0" hidden="1">'令和２年度決算(施設)'!$A$4:$N$60</definedName>
    <definedName name="Z_1ADEBCB8_9FB3_4DB2_BD49_E19DCBC61CF4_.wvu.PrintArea" localSheetId="3" hidden="1">'23年度決算（参考・公表済み）'!$A$1:$M$72</definedName>
    <definedName name="Z_1ADEBCB8_9FB3_4DB2_BD49_E19DCBC61CF4_.wvu.PrintArea" localSheetId="2" hidden="1">'24年度決算'!$A$1:$M$72</definedName>
    <definedName name="Z_1ADEBCB8_9FB3_4DB2_BD49_E19DCBC61CF4_.wvu.PrintArea" localSheetId="4" hidden="1">'凡例（施設）'!$A$1:$L$39</definedName>
    <definedName name="Z_1ADEBCB8_9FB3_4DB2_BD49_E19DCBC61CF4_.wvu.PrintTitles" localSheetId="3" hidden="1">'23年度決算（参考・公表済み）'!$B:$C,'23年度決算（参考・公表済み）'!$3:$4</definedName>
    <definedName name="Z_1ADEBCB8_9FB3_4DB2_BD49_E19DCBC61CF4_.wvu.PrintTitles" localSheetId="2" hidden="1">'24年度決算'!$B:$C,'24年度決算'!$3:$4</definedName>
    <definedName name="Z_1ADEBCB8_9FB3_4DB2_BD49_E19DCBC61CF4_.wvu.PrintTitles" localSheetId="4" hidden="1">'凡例（施設）'!$B:$C,'凡例（施設）'!$3:$4</definedName>
    <definedName name="Z_2DE5E7C6_AE47_4EE6_8A44_2588C73E3397_.wvu.Cols" localSheetId="0" hidden="1">'令和２年度決算(施設)'!#REF!,'令和２年度決算(施設)'!#REF!,'令和２年度決算(施設)'!#REF!,'令和２年度決算(施設)'!#REF!</definedName>
    <definedName name="Z_2DE5E7C6_AE47_4EE6_8A44_2588C73E3397_.wvu.FilterData" localSheetId="3" hidden="1">'23年度決算（参考・公表済み）'!$B$3:$L$64</definedName>
    <definedName name="Z_2DE5E7C6_AE47_4EE6_8A44_2588C73E3397_.wvu.FilterData" localSheetId="2" hidden="1">'24年度決算'!$B$3:$L$64</definedName>
    <definedName name="Z_2DE5E7C6_AE47_4EE6_8A44_2588C73E3397_.wvu.FilterData" localSheetId="1" hidden="1">'25年度決算'!$B$3:$L$64</definedName>
    <definedName name="Z_2DE5E7C6_AE47_4EE6_8A44_2588C73E3397_.wvu.FilterData" localSheetId="4" hidden="1">'凡例（施設）'!$B$3:$L$5</definedName>
    <definedName name="Z_2DE5E7C6_AE47_4EE6_8A44_2588C73E3397_.wvu.FilterData" localSheetId="0" hidden="1">'令和２年度決算(施設)'!$A$5:$N$60</definedName>
    <definedName name="Z_2DE5E7C6_AE47_4EE6_8A44_2588C73E3397_.wvu.PrintArea" localSheetId="3" hidden="1">'23年度決算（参考・公表済み）'!$A$1:$M$72</definedName>
    <definedName name="Z_2DE5E7C6_AE47_4EE6_8A44_2588C73E3397_.wvu.PrintArea" localSheetId="2" hidden="1">'24年度決算'!$A$1:$M$72</definedName>
    <definedName name="Z_2DE5E7C6_AE47_4EE6_8A44_2588C73E3397_.wvu.PrintArea" localSheetId="4" hidden="1">'凡例（施設）'!$A$1:$L$39</definedName>
    <definedName name="Z_2DE5E7C6_AE47_4EE6_8A44_2588C73E3397_.wvu.PrintTitles" localSheetId="3" hidden="1">'23年度決算（参考・公表済み）'!$B:$C,'23年度決算（参考・公表済み）'!$3:$4</definedName>
    <definedName name="Z_2DE5E7C6_AE47_4EE6_8A44_2588C73E3397_.wvu.PrintTitles" localSheetId="2" hidden="1">'24年度決算'!$B:$C,'24年度決算'!$3:$4</definedName>
    <definedName name="Z_2DE5E7C6_AE47_4EE6_8A44_2588C73E3397_.wvu.PrintTitles" localSheetId="4" hidden="1">'凡例（施設）'!$B:$C,'凡例（施設）'!$3:$4</definedName>
    <definedName name="Z_2EE33515_06C7_4ACF_A88B_A7FB8BA87F69_.wvu.Cols" localSheetId="3" hidden="1">'23年度決算（参考・公表済み）'!#REF!,'23年度決算（参考・公表済み）'!$F:$H</definedName>
    <definedName name="Z_2EE33515_06C7_4ACF_A88B_A7FB8BA87F69_.wvu.Cols" localSheetId="2" hidden="1">'24年度決算'!#REF!,'24年度決算'!$F:$H</definedName>
    <definedName name="Z_2EE33515_06C7_4ACF_A88B_A7FB8BA87F69_.wvu.Cols" localSheetId="1" hidden="1">'25年度決算'!#REF!,'25年度決算'!$F:$H</definedName>
    <definedName name="Z_2EE33515_06C7_4ACF_A88B_A7FB8BA87F69_.wvu.Cols" localSheetId="4" hidden="1">'凡例（施設）'!#REF!,'凡例（施設）'!$F:$H</definedName>
    <definedName name="Z_2EE33515_06C7_4ACF_A88B_A7FB8BA87F69_.wvu.Cols" localSheetId="0" hidden="1">'令和２年度決算(施設)'!#REF!,'令和２年度決算(施設)'!$F:$H</definedName>
    <definedName name="Z_2EE33515_06C7_4ACF_A88B_A7FB8BA87F69_.wvu.FilterData" localSheetId="3" hidden="1">'23年度決算（参考・公表済み）'!$B$3:$L$64</definedName>
    <definedName name="Z_2EE33515_06C7_4ACF_A88B_A7FB8BA87F69_.wvu.FilterData" localSheetId="2" hidden="1">'24年度決算'!$B$3:$L$64</definedName>
    <definedName name="Z_2EE33515_06C7_4ACF_A88B_A7FB8BA87F69_.wvu.FilterData" localSheetId="1" hidden="1">'25年度決算'!$B$3:$L$64</definedName>
    <definedName name="Z_2EE33515_06C7_4ACF_A88B_A7FB8BA87F69_.wvu.FilterData" localSheetId="4" hidden="1">'凡例（施設）'!$B$3:$L$5</definedName>
    <definedName name="Z_2EE33515_06C7_4ACF_A88B_A7FB8BA87F69_.wvu.FilterData" localSheetId="0" hidden="1">'令和２年度決算(施設)'!$B$4:$L$60</definedName>
    <definedName name="Z_2EE33515_06C7_4ACF_A88B_A7FB8BA87F69_.wvu.PrintArea" localSheetId="3" hidden="1">'23年度決算（参考・公表済み）'!$B$2:$H$64</definedName>
    <definedName name="Z_2EE33515_06C7_4ACF_A88B_A7FB8BA87F69_.wvu.PrintArea" localSheetId="2" hidden="1">'24年度決算'!$B$2:$H$64</definedName>
    <definedName name="Z_2EE33515_06C7_4ACF_A88B_A7FB8BA87F69_.wvu.PrintArea" localSheetId="1" hidden="1">'25年度決算'!$B$2:$H$64</definedName>
    <definedName name="Z_2EE33515_06C7_4ACF_A88B_A7FB8BA87F69_.wvu.PrintArea" localSheetId="4" hidden="1">'凡例（施設）'!$B$2:$H$5</definedName>
    <definedName name="Z_2EE33515_06C7_4ACF_A88B_A7FB8BA87F69_.wvu.PrintArea" localSheetId="0" hidden="1">'令和２年度決算(施設)'!$B$3:$H$60</definedName>
    <definedName name="Z_2EE33515_06C7_4ACF_A88B_A7FB8BA87F69_.wvu.PrintTitles" localSheetId="3" hidden="1">'23年度決算（参考・公表済み）'!$3:$4</definedName>
    <definedName name="Z_2EE33515_06C7_4ACF_A88B_A7FB8BA87F69_.wvu.PrintTitles" localSheetId="2" hidden="1">'24年度決算'!$3:$4</definedName>
    <definedName name="Z_2EE33515_06C7_4ACF_A88B_A7FB8BA87F69_.wvu.PrintTitles" localSheetId="1" hidden="1">'25年度決算'!$3:$4</definedName>
    <definedName name="Z_2EE33515_06C7_4ACF_A88B_A7FB8BA87F69_.wvu.PrintTitles" localSheetId="4" hidden="1">'凡例（施設）'!$3:$4</definedName>
    <definedName name="Z_2EE33515_06C7_4ACF_A88B_A7FB8BA87F69_.wvu.PrintTitles" localSheetId="0" hidden="1">'令和２年度決算(施設)'!$4:$5</definedName>
    <definedName name="Z_2EE33515_06C7_4ACF_A88B_A7FB8BA87F69_.wvu.Rows" localSheetId="3" hidden="1">'23年度決算（参考・公表済み）'!#REF!</definedName>
    <definedName name="Z_2EE33515_06C7_4ACF_A88B_A7FB8BA87F69_.wvu.Rows" localSheetId="2" hidden="1">'24年度決算'!#REF!</definedName>
    <definedName name="Z_2EE33515_06C7_4ACF_A88B_A7FB8BA87F69_.wvu.Rows" localSheetId="1" hidden="1">'25年度決算'!#REF!</definedName>
    <definedName name="Z_2EE33515_06C7_4ACF_A88B_A7FB8BA87F69_.wvu.Rows" localSheetId="4" hidden="1">'凡例（施設）'!#REF!</definedName>
    <definedName name="Z_2EE33515_06C7_4ACF_A88B_A7FB8BA87F69_.wvu.Rows" localSheetId="0" hidden="1">'令和２年度決算(施設)'!#REF!</definedName>
    <definedName name="Z_3A32E19C_D4D3_4CC1_9C3D_868EE45F055E_.wvu.FilterData" localSheetId="3" hidden="1">'23年度決算（参考・公表済み）'!$B$3:$L$64</definedName>
    <definedName name="Z_3A32E19C_D4D3_4CC1_9C3D_868EE45F055E_.wvu.FilterData" localSheetId="2" hidden="1">'24年度決算'!$B$3:$L$64</definedName>
    <definedName name="Z_3A32E19C_D4D3_4CC1_9C3D_868EE45F055E_.wvu.FilterData" localSheetId="1" hidden="1">'25年度決算'!$B$3:$L$64</definedName>
    <definedName name="Z_3A32E19C_D4D3_4CC1_9C3D_868EE45F055E_.wvu.FilterData" localSheetId="4" hidden="1">'凡例（施設）'!$B$3:$L$5</definedName>
    <definedName name="Z_3A32E19C_D4D3_4CC1_9C3D_868EE45F055E_.wvu.FilterData" localSheetId="0" hidden="1">'令和２年度決算(施設)'!$B$4:$L$60</definedName>
    <definedName name="Z_46CDB4E0_94DD_4DBD_BF60_0AFF6066F16A_.wvu.FilterData" localSheetId="0" hidden="1">'令和２年度決算(施設)'!$A$4:$N$60</definedName>
    <definedName name="Z_471F3EDC_F961_49D7_B3AD_428E17DCCF42_.wvu.FilterData" localSheetId="0" hidden="1">'令和２年度決算(施設)'!$A$4:$N$60</definedName>
    <definedName name="Z_4724C107_2586_4CA4_AE84_701A5ED764F6_.wvu.FilterData" localSheetId="3" hidden="1">'23年度決算（参考・公表済み）'!$B$3:$L$64</definedName>
    <definedName name="Z_4724C107_2586_4CA4_AE84_701A5ED764F6_.wvu.FilterData" localSheetId="2" hidden="1">'24年度決算'!$B$3:$L$64</definedName>
    <definedName name="Z_4724C107_2586_4CA4_AE84_701A5ED764F6_.wvu.FilterData" localSheetId="1" hidden="1">'25年度決算'!$B$3:$L$64</definedName>
    <definedName name="Z_4724C107_2586_4CA4_AE84_701A5ED764F6_.wvu.FilterData" localSheetId="4" hidden="1">'凡例（施設）'!$B$3:$L$5</definedName>
    <definedName name="Z_4724C107_2586_4CA4_AE84_701A5ED764F6_.wvu.FilterData" localSheetId="0" hidden="1">'令和２年度決算(施設)'!$A$4:$N$60</definedName>
    <definedName name="Z_4724C107_2586_4CA4_AE84_701A5ED764F6_.wvu.PrintArea" localSheetId="3" hidden="1">'23年度決算（参考・公表済み）'!$A$1:$M$72</definedName>
    <definedName name="Z_4724C107_2586_4CA4_AE84_701A5ED764F6_.wvu.PrintArea" localSheetId="2" hidden="1">'24年度決算'!$A$1:$M$72</definedName>
    <definedName name="Z_4724C107_2586_4CA4_AE84_701A5ED764F6_.wvu.PrintArea" localSheetId="1" hidden="1">'25年度決算'!$A$1:$M$72</definedName>
    <definedName name="Z_4724C107_2586_4CA4_AE84_701A5ED764F6_.wvu.PrintArea" localSheetId="4" hidden="1">'凡例（施設）'!$A$1:$L$39</definedName>
    <definedName name="Z_4724C107_2586_4CA4_AE84_701A5ED764F6_.wvu.PrintArea" localSheetId="0" hidden="1">'令和２年度決算(施設)'!$A$1:$N$68</definedName>
    <definedName name="Z_4724C107_2586_4CA4_AE84_701A5ED764F6_.wvu.PrintTitles" localSheetId="3" hidden="1">'23年度決算（参考・公表済み）'!$B:$C,'23年度決算（参考・公表済み）'!$3:$4</definedName>
    <definedName name="Z_4724C107_2586_4CA4_AE84_701A5ED764F6_.wvu.PrintTitles" localSheetId="2" hidden="1">'24年度決算'!$B:$C,'24年度決算'!$3:$4</definedName>
    <definedName name="Z_4724C107_2586_4CA4_AE84_701A5ED764F6_.wvu.PrintTitles" localSheetId="1" hidden="1">'25年度決算'!$B:$C,'25年度決算'!$3:$4</definedName>
    <definedName name="Z_4724C107_2586_4CA4_AE84_701A5ED764F6_.wvu.PrintTitles" localSheetId="4" hidden="1">'凡例（施設）'!$B:$C,'凡例（施設）'!$3:$4</definedName>
    <definedName name="Z_4724C107_2586_4CA4_AE84_701A5ED764F6_.wvu.PrintTitles" localSheetId="0" hidden="1">'令和２年度決算(施設)'!$B:$C,'令和２年度決算(施設)'!$4:$5</definedName>
    <definedName name="Z_47AE5BBD_A385_41BE_B786_2DF2D65C20C7_.wvu.Cols" localSheetId="0" hidden="1">'令和２年度決算(施設)'!#REF!,'令和２年度決算(施設)'!#REF!,'令和２年度決算(施設)'!#REF!,'令和２年度決算(施設)'!#REF!</definedName>
    <definedName name="Z_47AE5BBD_A385_41BE_B786_2DF2D65C20C7_.wvu.FilterData" localSheetId="3" hidden="1">'23年度決算（参考・公表済み）'!$B$3:$L$64</definedName>
    <definedName name="Z_47AE5BBD_A385_41BE_B786_2DF2D65C20C7_.wvu.FilterData" localSheetId="2" hidden="1">'24年度決算'!$B$3:$L$64</definedName>
    <definedName name="Z_47AE5BBD_A385_41BE_B786_2DF2D65C20C7_.wvu.FilterData" localSheetId="1" hidden="1">'25年度決算'!$B$3:$L$64</definedName>
    <definedName name="Z_47AE5BBD_A385_41BE_B786_2DF2D65C20C7_.wvu.FilterData" localSheetId="4" hidden="1">'凡例（施設）'!$B$3:$L$5</definedName>
    <definedName name="Z_47AE5BBD_A385_41BE_B786_2DF2D65C20C7_.wvu.FilterData" localSheetId="0" hidden="1">'令和２年度決算(施設)'!$A$5:$N$60</definedName>
    <definedName name="Z_47AE5BBD_A385_41BE_B786_2DF2D65C20C7_.wvu.PrintArea" localSheetId="3" hidden="1">'23年度決算（参考・公表済み）'!$A$1:$M$72</definedName>
    <definedName name="Z_47AE5BBD_A385_41BE_B786_2DF2D65C20C7_.wvu.PrintArea" localSheetId="2" hidden="1">'24年度決算'!$A$1:$M$72</definedName>
    <definedName name="Z_47AE5BBD_A385_41BE_B786_2DF2D65C20C7_.wvu.PrintArea" localSheetId="4" hidden="1">'凡例（施設）'!$A$1:$L$39</definedName>
    <definedName name="Z_47AE5BBD_A385_41BE_B786_2DF2D65C20C7_.wvu.PrintTitles" localSheetId="3" hidden="1">'23年度決算（参考・公表済み）'!$B:$C,'23年度決算（参考・公表済み）'!$3:$4</definedName>
    <definedName name="Z_47AE5BBD_A385_41BE_B786_2DF2D65C20C7_.wvu.PrintTitles" localSheetId="2" hidden="1">'24年度決算'!$B:$C,'24年度決算'!$3:$4</definedName>
    <definedName name="Z_47AE5BBD_A385_41BE_B786_2DF2D65C20C7_.wvu.PrintTitles" localSheetId="4" hidden="1">'凡例（施設）'!$B:$C,'凡例（施設）'!$3:$4</definedName>
    <definedName name="Z_48DF1A33_946D_4268_BBCF_1269014A917F_.wvu.Cols" localSheetId="0" hidden="1">'令和２年度決算(施設)'!#REF!,'令和２年度決算(施設)'!#REF!,'令和２年度決算(施設)'!#REF!,'令和２年度決算(施設)'!#REF!</definedName>
    <definedName name="Z_48DF1A33_946D_4268_BBCF_1269014A917F_.wvu.FilterData" localSheetId="3" hidden="1">'23年度決算（参考・公表済み）'!$B$3:$L$64</definedName>
    <definedName name="Z_48DF1A33_946D_4268_BBCF_1269014A917F_.wvu.FilterData" localSheetId="2" hidden="1">'24年度決算'!$B$3:$L$64</definedName>
    <definedName name="Z_48DF1A33_946D_4268_BBCF_1269014A917F_.wvu.FilterData" localSheetId="1" hidden="1">'25年度決算'!$B$3:$L$64</definedName>
    <definedName name="Z_48DF1A33_946D_4268_BBCF_1269014A917F_.wvu.FilterData" localSheetId="4" hidden="1">'凡例（施設）'!$B$3:$L$5</definedName>
    <definedName name="Z_48DF1A33_946D_4268_BBCF_1269014A917F_.wvu.FilterData" localSheetId="0" hidden="1">'令和２年度決算(施設)'!$A$4:$N$60</definedName>
    <definedName name="Z_48DF1A33_946D_4268_BBCF_1269014A917F_.wvu.PrintArea" localSheetId="3" hidden="1">'23年度決算（参考・公表済み）'!$A$1:$M$72</definedName>
    <definedName name="Z_48DF1A33_946D_4268_BBCF_1269014A917F_.wvu.PrintArea" localSheetId="2" hidden="1">'24年度決算'!$A$1:$M$72</definedName>
    <definedName name="Z_48DF1A33_946D_4268_BBCF_1269014A917F_.wvu.PrintArea" localSheetId="1" hidden="1">'25年度決算'!$A$1:$M$72</definedName>
    <definedName name="Z_48DF1A33_946D_4268_BBCF_1269014A917F_.wvu.PrintArea" localSheetId="4" hidden="1">'凡例（施設）'!$A$1:$L$39</definedName>
    <definedName name="Z_48DF1A33_946D_4268_BBCF_1269014A917F_.wvu.PrintArea" localSheetId="0" hidden="1">'令和２年度決算(施設)'!$A$1:$N$68</definedName>
    <definedName name="Z_48DF1A33_946D_4268_BBCF_1269014A917F_.wvu.PrintTitles" localSheetId="3" hidden="1">'23年度決算（参考・公表済み）'!$B:$C,'23年度決算（参考・公表済み）'!$3:$4</definedName>
    <definedName name="Z_48DF1A33_946D_4268_BBCF_1269014A917F_.wvu.PrintTitles" localSheetId="2" hidden="1">'24年度決算'!$B:$C,'24年度決算'!$3:$4</definedName>
    <definedName name="Z_48DF1A33_946D_4268_BBCF_1269014A917F_.wvu.PrintTitles" localSheetId="1" hidden="1">'25年度決算'!$B:$C,'25年度決算'!$3:$4</definedName>
    <definedName name="Z_48DF1A33_946D_4268_BBCF_1269014A917F_.wvu.PrintTitles" localSheetId="4" hidden="1">'凡例（施設）'!$B:$C,'凡例（施設）'!$3:$4</definedName>
    <definedName name="Z_48DF1A33_946D_4268_BBCF_1269014A917F_.wvu.PrintTitles" localSheetId="0" hidden="1">'令和２年度決算(施設)'!$B:$C,'令和２年度決算(施設)'!$4:$5</definedName>
    <definedName name="Z_4BD327CA_D2D9_47BB_8D43_E6A2085736FF_.wvu.Cols" localSheetId="0" hidden="1">'令和２年度決算(施設)'!#REF!,'令和２年度決算(施設)'!#REF!,'令和２年度決算(施設)'!#REF!,'令和２年度決算(施設)'!#REF!</definedName>
    <definedName name="Z_4BD327CA_D2D9_47BB_8D43_E6A2085736FF_.wvu.FilterData" localSheetId="3" hidden="1">'23年度決算（参考・公表済み）'!$B$3:$L$64</definedName>
    <definedName name="Z_4BD327CA_D2D9_47BB_8D43_E6A2085736FF_.wvu.FilterData" localSheetId="2" hidden="1">'24年度決算'!$B$3:$L$64</definedName>
    <definedName name="Z_4BD327CA_D2D9_47BB_8D43_E6A2085736FF_.wvu.FilterData" localSheetId="1" hidden="1">'25年度決算'!$B$3:$L$64</definedName>
    <definedName name="Z_4BD327CA_D2D9_47BB_8D43_E6A2085736FF_.wvu.FilterData" localSheetId="4" hidden="1">'凡例（施設）'!$B$3:$L$5</definedName>
    <definedName name="Z_4BD327CA_D2D9_47BB_8D43_E6A2085736FF_.wvu.FilterData" localSheetId="0" hidden="1">'令和２年度決算(施設)'!$A$5:$N$5</definedName>
    <definedName name="Z_4BD327CA_D2D9_47BB_8D43_E6A2085736FF_.wvu.PrintArea" localSheetId="3" hidden="1">'23年度決算（参考・公表済み）'!$A$1:$M$72</definedName>
    <definedName name="Z_4BD327CA_D2D9_47BB_8D43_E6A2085736FF_.wvu.PrintArea" localSheetId="2" hidden="1">'24年度決算'!$A$1:$M$72</definedName>
    <definedName name="Z_4BD327CA_D2D9_47BB_8D43_E6A2085736FF_.wvu.PrintArea" localSheetId="4" hidden="1">'凡例（施設）'!$A$1:$L$39</definedName>
    <definedName name="Z_4BD327CA_D2D9_47BB_8D43_E6A2085736FF_.wvu.PrintTitles" localSheetId="3" hidden="1">'23年度決算（参考・公表済み）'!$B:$C,'23年度決算（参考・公表済み）'!$3:$4</definedName>
    <definedName name="Z_4BD327CA_D2D9_47BB_8D43_E6A2085736FF_.wvu.PrintTitles" localSheetId="2" hidden="1">'24年度決算'!$B:$C,'24年度決算'!$3:$4</definedName>
    <definedName name="Z_4BD327CA_D2D9_47BB_8D43_E6A2085736FF_.wvu.PrintTitles" localSheetId="4" hidden="1">'凡例（施設）'!$B:$C,'凡例（施設）'!$3:$4</definedName>
    <definedName name="Z_5B8A0CAF_BC9B_4670_A91B_C7F9421BC3F7_.wvu.Cols" localSheetId="0" hidden="1">'令和２年度決算(施設)'!#REF!,'令和２年度決算(施設)'!#REF!,'令和２年度決算(施設)'!#REF!,'令和２年度決算(施設)'!#REF!</definedName>
    <definedName name="Z_5B8A0CAF_BC9B_4670_A91B_C7F9421BC3F7_.wvu.FilterData" localSheetId="3" hidden="1">'23年度決算（参考・公表済み）'!$B$3:$L$64</definedName>
    <definedName name="Z_5B8A0CAF_BC9B_4670_A91B_C7F9421BC3F7_.wvu.FilterData" localSheetId="2" hidden="1">'24年度決算'!$B$3:$L$64</definedName>
    <definedName name="Z_5B8A0CAF_BC9B_4670_A91B_C7F9421BC3F7_.wvu.FilterData" localSheetId="1" hidden="1">'25年度決算'!$B$3:$L$64</definedName>
    <definedName name="Z_5B8A0CAF_BC9B_4670_A91B_C7F9421BC3F7_.wvu.FilterData" localSheetId="4" hidden="1">'凡例（施設）'!$B$3:$L$5</definedName>
    <definedName name="Z_5B8A0CAF_BC9B_4670_A91B_C7F9421BC3F7_.wvu.FilterData" localSheetId="0" hidden="1">'令和２年度決算(施設)'!$A$5:$N$60</definedName>
    <definedName name="Z_5B8A0CAF_BC9B_4670_A91B_C7F9421BC3F7_.wvu.PrintArea" localSheetId="3" hidden="1">'23年度決算（参考・公表済み）'!$A$1:$M$72</definedName>
    <definedName name="Z_5B8A0CAF_BC9B_4670_A91B_C7F9421BC3F7_.wvu.PrintArea" localSheetId="2" hidden="1">'24年度決算'!$A$1:$M$72</definedName>
    <definedName name="Z_5B8A0CAF_BC9B_4670_A91B_C7F9421BC3F7_.wvu.PrintArea" localSheetId="4" hidden="1">'凡例（施設）'!$A$1:$L$39</definedName>
    <definedName name="Z_5B8A0CAF_BC9B_4670_A91B_C7F9421BC3F7_.wvu.PrintTitles" localSheetId="3" hidden="1">'23年度決算（参考・公表済み）'!$B:$C,'23年度決算（参考・公表済み）'!$3:$4</definedName>
    <definedName name="Z_5B8A0CAF_BC9B_4670_A91B_C7F9421BC3F7_.wvu.PrintTitles" localSheetId="2" hidden="1">'24年度決算'!$B:$C,'24年度決算'!$3:$4</definedName>
    <definedName name="Z_5B8A0CAF_BC9B_4670_A91B_C7F9421BC3F7_.wvu.PrintTitles" localSheetId="4" hidden="1">'凡例（施設）'!$B:$C,'凡例（施設）'!$3:$4</definedName>
    <definedName name="Z_5D7BC948_B761_4C79_AFD0_CA72550D1ACD_.wvu.Cols" localSheetId="0" hidden="1">'令和２年度決算(施設)'!#REF!,'令和２年度決算(施設)'!#REF!,'令和２年度決算(施設)'!#REF!,'令和２年度決算(施設)'!#REF!</definedName>
    <definedName name="Z_5D7BC948_B761_4C79_AFD0_CA72550D1ACD_.wvu.FilterData" localSheetId="3" hidden="1">'23年度決算（参考・公表済み）'!$B$3:$L$64</definedName>
    <definedName name="Z_5D7BC948_B761_4C79_AFD0_CA72550D1ACD_.wvu.FilterData" localSheetId="2" hidden="1">'24年度決算'!$B$3:$L$64</definedName>
    <definedName name="Z_5D7BC948_B761_4C79_AFD0_CA72550D1ACD_.wvu.FilterData" localSheetId="1" hidden="1">'25年度決算'!$B$3:$L$64</definedName>
    <definedName name="Z_5D7BC948_B761_4C79_AFD0_CA72550D1ACD_.wvu.FilterData" localSheetId="4" hidden="1">'凡例（施設）'!$B$3:$L$5</definedName>
    <definedName name="Z_5D7BC948_B761_4C79_AFD0_CA72550D1ACD_.wvu.FilterData" localSheetId="0" hidden="1">'令和２年度決算(施設)'!$A$5:$N$60</definedName>
    <definedName name="Z_5D7BC948_B761_4C79_AFD0_CA72550D1ACD_.wvu.PrintArea" localSheetId="3" hidden="1">'23年度決算（参考・公表済み）'!$A$1:$M$72</definedName>
    <definedName name="Z_5D7BC948_B761_4C79_AFD0_CA72550D1ACD_.wvu.PrintArea" localSheetId="2" hidden="1">'24年度決算'!$A$1:$M$72</definedName>
    <definedName name="Z_5D7BC948_B761_4C79_AFD0_CA72550D1ACD_.wvu.PrintArea" localSheetId="4" hidden="1">'凡例（施設）'!$A$1:$L$39</definedName>
    <definedName name="Z_5D7BC948_B761_4C79_AFD0_CA72550D1ACD_.wvu.PrintTitles" localSheetId="3" hidden="1">'23年度決算（参考・公表済み）'!$B:$C,'23年度決算（参考・公表済み）'!$3:$4</definedName>
    <definedName name="Z_5D7BC948_B761_4C79_AFD0_CA72550D1ACD_.wvu.PrintTitles" localSheetId="2" hidden="1">'24年度決算'!$B:$C,'24年度決算'!$3:$4</definedName>
    <definedName name="Z_5D7BC948_B761_4C79_AFD0_CA72550D1ACD_.wvu.PrintTitles" localSheetId="4" hidden="1">'凡例（施設）'!$B:$C,'凡例（施設）'!$3:$4</definedName>
    <definedName name="Z_7163A3C6_244D_405B_BD93_E5BCF27C7AF3_.wvu.FilterData" localSheetId="0" hidden="1">'令和２年度決算(施設)'!$A$5:$N$5</definedName>
    <definedName name="Z_7846096B_A981_4690_8ACE_5F019355F38C_.wvu.FilterData" localSheetId="3" hidden="1">'23年度決算（参考・公表済み）'!$B$3:$L$64</definedName>
    <definedName name="Z_7846096B_A981_4690_8ACE_5F019355F38C_.wvu.FilterData" localSheetId="2" hidden="1">'24年度決算'!$B$3:$L$64</definedName>
    <definedName name="Z_7846096B_A981_4690_8ACE_5F019355F38C_.wvu.FilterData" localSheetId="1" hidden="1">'25年度決算'!$B$3:$L$64</definedName>
    <definedName name="Z_7846096B_A981_4690_8ACE_5F019355F38C_.wvu.FilterData" localSheetId="4" hidden="1">'凡例（施設）'!$B$3:$L$5</definedName>
    <definedName name="Z_7846096B_A981_4690_8ACE_5F019355F38C_.wvu.FilterData" localSheetId="0" hidden="1">'令和２年度決算(施設)'!$B$4:$L$60</definedName>
    <definedName name="Z_7B95FA94_D01D_4528_A96E_188FD548573A_.wvu.Cols" localSheetId="0" hidden="1">'令和２年度決算(施設)'!#REF!,'令和２年度決算(施設)'!#REF!,'令和２年度決算(施設)'!#REF!,'令和２年度決算(施設)'!#REF!,'令和２年度決算(施設)'!#REF!</definedName>
    <definedName name="Z_7B95FA94_D01D_4528_A96E_188FD548573A_.wvu.FilterData" localSheetId="3" hidden="1">'23年度決算（参考・公表済み）'!$B$3:$L$64</definedName>
    <definedName name="Z_7B95FA94_D01D_4528_A96E_188FD548573A_.wvu.FilterData" localSheetId="2" hidden="1">'24年度決算'!$B$3:$L$64</definedName>
    <definedName name="Z_7B95FA94_D01D_4528_A96E_188FD548573A_.wvu.FilterData" localSheetId="1" hidden="1">'25年度決算'!$B$3:$L$64</definedName>
    <definedName name="Z_7B95FA94_D01D_4528_A96E_188FD548573A_.wvu.FilterData" localSheetId="4" hidden="1">'凡例（施設）'!$B$3:$L$5</definedName>
    <definedName name="Z_7B95FA94_D01D_4528_A96E_188FD548573A_.wvu.FilterData" localSheetId="0" hidden="1">'令和２年度決算(施設)'!$A$5:$N$60</definedName>
    <definedName name="Z_7B95FA94_D01D_4528_A96E_188FD548573A_.wvu.PrintArea" localSheetId="3" hidden="1">'23年度決算（参考・公表済み）'!$A$1:$M$72</definedName>
    <definedName name="Z_7B95FA94_D01D_4528_A96E_188FD548573A_.wvu.PrintArea" localSheetId="2" hidden="1">'24年度決算'!$A$1:$M$72</definedName>
    <definedName name="Z_7B95FA94_D01D_4528_A96E_188FD548573A_.wvu.PrintArea" localSheetId="4" hidden="1">'凡例（施設）'!$A$1:$L$39</definedName>
    <definedName name="Z_7B95FA94_D01D_4528_A96E_188FD548573A_.wvu.PrintTitles" localSheetId="3" hidden="1">'23年度決算（参考・公表済み）'!$B:$C,'23年度決算（参考・公表済み）'!$3:$4</definedName>
    <definedName name="Z_7B95FA94_D01D_4528_A96E_188FD548573A_.wvu.PrintTitles" localSheetId="2" hidden="1">'24年度決算'!$B:$C,'24年度決算'!$3:$4</definedName>
    <definedName name="Z_7B95FA94_D01D_4528_A96E_188FD548573A_.wvu.PrintTitles" localSheetId="4" hidden="1">'凡例（施設）'!$B:$C,'凡例（施設）'!$3:$4</definedName>
    <definedName name="Z_7F5C8E7A_36EF_49B6_8AD1_0AE683E12EE0_.wvu.Cols" localSheetId="0" hidden="1">'令和２年度決算(施設)'!#REF!,'令和２年度決算(施設)'!#REF!,'令和２年度決算(施設)'!#REF!</definedName>
    <definedName name="Z_7F5C8E7A_36EF_49B6_8AD1_0AE683E12EE0_.wvu.FilterData" localSheetId="3" hidden="1">'23年度決算（参考・公表済み）'!$B$3:$L$64</definedName>
    <definedName name="Z_7F5C8E7A_36EF_49B6_8AD1_0AE683E12EE0_.wvu.FilterData" localSheetId="2" hidden="1">'24年度決算'!$B$3:$L$64</definedName>
    <definedName name="Z_7F5C8E7A_36EF_49B6_8AD1_0AE683E12EE0_.wvu.FilterData" localSheetId="1" hidden="1">'25年度決算'!$B$3:$L$64</definedName>
    <definedName name="Z_7F5C8E7A_36EF_49B6_8AD1_0AE683E12EE0_.wvu.FilterData" localSheetId="4" hidden="1">'凡例（施設）'!$B$3:$L$5</definedName>
    <definedName name="Z_7F5C8E7A_36EF_49B6_8AD1_0AE683E12EE0_.wvu.FilterData" localSheetId="0" hidden="1">'令和２年度決算(施設)'!$A$5:$N$60</definedName>
    <definedName name="Z_7F5C8E7A_36EF_49B6_8AD1_0AE683E12EE0_.wvu.PrintArea" localSheetId="3" hidden="1">'23年度決算（参考・公表済み）'!$A$1:$M$72</definedName>
    <definedName name="Z_7F5C8E7A_36EF_49B6_8AD1_0AE683E12EE0_.wvu.PrintArea" localSheetId="2" hidden="1">'24年度決算'!$A$1:$M$72</definedName>
    <definedName name="Z_7F5C8E7A_36EF_49B6_8AD1_0AE683E12EE0_.wvu.PrintArea" localSheetId="4" hidden="1">'凡例（施設）'!$A$1:$L$39</definedName>
    <definedName name="Z_7F5C8E7A_36EF_49B6_8AD1_0AE683E12EE0_.wvu.PrintTitles" localSheetId="3" hidden="1">'23年度決算（参考・公表済み）'!$B:$C,'23年度決算（参考・公表済み）'!$3:$4</definedName>
    <definedName name="Z_7F5C8E7A_36EF_49B6_8AD1_0AE683E12EE0_.wvu.PrintTitles" localSheetId="2" hidden="1">'24年度決算'!$B:$C,'24年度決算'!$3:$4</definedName>
    <definedName name="Z_7F5C8E7A_36EF_49B6_8AD1_0AE683E12EE0_.wvu.PrintTitles" localSheetId="4" hidden="1">'凡例（施設）'!$B:$C,'凡例（施設）'!$3:$4</definedName>
    <definedName name="Z_8861AE24_1F01_42AD_BF50_4516A37941DC_.wvu.Cols" localSheetId="0" hidden="1">'令和２年度決算(施設)'!#REF!,'令和２年度決算(施設)'!#REF!,'令和２年度決算(施設)'!#REF!,'令和２年度決算(施設)'!#REF!</definedName>
    <definedName name="Z_8861AE24_1F01_42AD_BF50_4516A37941DC_.wvu.FilterData" localSheetId="3" hidden="1">'23年度決算（参考・公表済み）'!$B$3:$L$64</definedName>
    <definedName name="Z_8861AE24_1F01_42AD_BF50_4516A37941DC_.wvu.FilterData" localSheetId="2" hidden="1">'24年度決算'!$B$3:$L$64</definedName>
    <definedName name="Z_8861AE24_1F01_42AD_BF50_4516A37941DC_.wvu.FilterData" localSheetId="1" hidden="1">'25年度決算'!$B$3:$L$64</definedName>
    <definedName name="Z_8861AE24_1F01_42AD_BF50_4516A37941DC_.wvu.FilterData" localSheetId="4" hidden="1">'凡例（施設）'!$B$3:$L$5</definedName>
    <definedName name="Z_8861AE24_1F01_42AD_BF50_4516A37941DC_.wvu.FilterData" localSheetId="0" hidden="1">'令和２年度決算(施設)'!$A$4:$N$60</definedName>
    <definedName name="Z_8861AE24_1F01_42AD_BF50_4516A37941DC_.wvu.PrintArea" localSheetId="3" hidden="1">'23年度決算（参考・公表済み）'!$A$1:$M$72</definedName>
    <definedName name="Z_8861AE24_1F01_42AD_BF50_4516A37941DC_.wvu.PrintArea" localSheetId="2" hidden="1">'24年度決算'!$A$1:$M$72</definedName>
    <definedName name="Z_8861AE24_1F01_42AD_BF50_4516A37941DC_.wvu.PrintArea" localSheetId="1" hidden="1">'25年度決算'!$A$1:$M$72</definedName>
    <definedName name="Z_8861AE24_1F01_42AD_BF50_4516A37941DC_.wvu.PrintArea" localSheetId="4" hidden="1">'凡例（施設）'!$A$1:$L$39</definedName>
    <definedName name="Z_8861AE24_1F01_42AD_BF50_4516A37941DC_.wvu.PrintArea" localSheetId="0" hidden="1">'令和２年度決算(施設)'!$A$1:$N$68</definedName>
    <definedName name="Z_8861AE24_1F01_42AD_BF50_4516A37941DC_.wvu.PrintTitles" localSheetId="3" hidden="1">'23年度決算（参考・公表済み）'!$B:$C,'23年度決算（参考・公表済み）'!$3:$4</definedName>
    <definedName name="Z_8861AE24_1F01_42AD_BF50_4516A37941DC_.wvu.PrintTitles" localSheetId="2" hidden="1">'24年度決算'!$B:$C,'24年度決算'!$3:$4</definedName>
    <definedName name="Z_8861AE24_1F01_42AD_BF50_4516A37941DC_.wvu.PrintTitles" localSheetId="1" hidden="1">'25年度決算'!$B:$C,'25年度決算'!$3:$4</definedName>
    <definedName name="Z_8861AE24_1F01_42AD_BF50_4516A37941DC_.wvu.PrintTitles" localSheetId="4" hidden="1">'凡例（施設）'!$B:$C,'凡例（施設）'!$3:$4</definedName>
    <definedName name="Z_8861AE24_1F01_42AD_BF50_4516A37941DC_.wvu.PrintTitles" localSheetId="0" hidden="1">'令和２年度決算(施設)'!$B:$C,'令和２年度決算(施設)'!$4:$5</definedName>
    <definedName name="Z_8BD64CB5_C1EB_4DA0_9E9E_C91E7594013A_.wvu.FilterData" localSheetId="3" hidden="1">'23年度決算（参考・公表済み）'!$B$3:$L$64</definedName>
    <definedName name="Z_8BD64CB5_C1EB_4DA0_9E9E_C91E7594013A_.wvu.FilterData" localSheetId="2" hidden="1">'24年度決算'!$B$3:$L$64</definedName>
    <definedName name="Z_8BD64CB5_C1EB_4DA0_9E9E_C91E7594013A_.wvu.FilterData" localSheetId="1" hidden="1">'25年度決算'!$B$3:$L$64</definedName>
    <definedName name="Z_8BD64CB5_C1EB_4DA0_9E9E_C91E7594013A_.wvu.FilterData" localSheetId="4" hidden="1">'凡例（施設）'!$B$3:$L$5</definedName>
    <definedName name="Z_8BD64CB5_C1EB_4DA0_9E9E_C91E7594013A_.wvu.FilterData" localSheetId="0" hidden="1">'令和２年度決算(施設)'!$A$4:$N$60</definedName>
    <definedName name="Z_8BD64CB5_C1EB_4DA0_9E9E_C91E7594013A_.wvu.PrintArea" localSheetId="3" hidden="1">'23年度決算（参考・公表済み）'!$A$1:$M$72</definedName>
    <definedName name="Z_8BD64CB5_C1EB_4DA0_9E9E_C91E7594013A_.wvu.PrintArea" localSheetId="2" hidden="1">'24年度決算'!$A$1:$M$72</definedName>
    <definedName name="Z_8BD64CB5_C1EB_4DA0_9E9E_C91E7594013A_.wvu.PrintArea" localSheetId="1" hidden="1">'25年度決算'!$A$1:$M$72</definedName>
    <definedName name="Z_8BD64CB5_C1EB_4DA0_9E9E_C91E7594013A_.wvu.PrintArea" localSheetId="4" hidden="1">'凡例（施設）'!$A$1:$L$39</definedName>
    <definedName name="Z_8BD64CB5_C1EB_4DA0_9E9E_C91E7594013A_.wvu.PrintTitles" localSheetId="3" hidden="1">'23年度決算（参考・公表済み）'!$B:$C,'23年度決算（参考・公表済み）'!$3:$4</definedName>
    <definedName name="Z_8BD64CB5_C1EB_4DA0_9E9E_C91E7594013A_.wvu.PrintTitles" localSheetId="2" hidden="1">'24年度決算'!$B:$C,'24年度決算'!$3:$4</definedName>
    <definedName name="Z_8BD64CB5_C1EB_4DA0_9E9E_C91E7594013A_.wvu.PrintTitles" localSheetId="1" hidden="1">'25年度決算'!$B:$C,'25年度決算'!$3:$4</definedName>
    <definedName name="Z_8BD64CB5_C1EB_4DA0_9E9E_C91E7594013A_.wvu.PrintTitles" localSheetId="4" hidden="1">'凡例（施設）'!$B:$C,'凡例（施設）'!$3:$4</definedName>
    <definedName name="Z_8CCCCA31_BF3F_4488_9349_D417CF63AE1B_.wvu.Cols" localSheetId="3" hidden="1">'23年度決算（参考・公表済み）'!#REF!,'23年度決算（参考・公表済み）'!$F:$H</definedName>
    <definedName name="Z_8CCCCA31_BF3F_4488_9349_D417CF63AE1B_.wvu.Cols" localSheetId="2" hidden="1">'24年度決算'!#REF!,'24年度決算'!$F:$H</definedName>
    <definedName name="Z_8CCCCA31_BF3F_4488_9349_D417CF63AE1B_.wvu.Cols" localSheetId="1" hidden="1">'25年度決算'!#REF!,'25年度決算'!$F:$H</definedName>
    <definedName name="Z_8CCCCA31_BF3F_4488_9349_D417CF63AE1B_.wvu.Cols" localSheetId="4" hidden="1">'凡例（施設）'!#REF!,'凡例（施設）'!$F:$H</definedName>
    <definedName name="Z_8CCCCA31_BF3F_4488_9349_D417CF63AE1B_.wvu.Cols" localSheetId="0" hidden="1">'令和２年度決算(施設)'!#REF!,'令和２年度決算(施設)'!$F:$H</definedName>
    <definedName name="Z_8CCCCA31_BF3F_4488_9349_D417CF63AE1B_.wvu.FilterData" localSheetId="3" hidden="1">'23年度決算（参考・公表済み）'!$B$3:$L$64</definedName>
    <definedName name="Z_8CCCCA31_BF3F_4488_9349_D417CF63AE1B_.wvu.FilterData" localSheetId="2" hidden="1">'24年度決算'!$B$3:$L$64</definedName>
    <definedName name="Z_8CCCCA31_BF3F_4488_9349_D417CF63AE1B_.wvu.FilterData" localSheetId="1" hidden="1">'25年度決算'!$B$3:$L$64</definedName>
    <definedName name="Z_8CCCCA31_BF3F_4488_9349_D417CF63AE1B_.wvu.FilterData" localSheetId="4" hidden="1">'凡例（施設）'!$B$3:$L$5</definedName>
    <definedName name="Z_8CCCCA31_BF3F_4488_9349_D417CF63AE1B_.wvu.FilterData" localSheetId="0" hidden="1">'令和２年度決算(施設)'!$B$4:$L$60</definedName>
    <definedName name="Z_8CCCCA31_BF3F_4488_9349_D417CF63AE1B_.wvu.PrintArea" localSheetId="3" hidden="1">'23年度決算（参考・公表済み）'!$B$2:$H$64</definedName>
    <definedName name="Z_8CCCCA31_BF3F_4488_9349_D417CF63AE1B_.wvu.PrintArea" localSheetId="2" hidden="1">'24年度決算'!$B$2:$H$64</definedName>
    <definedName name="Z_8CCCCA31_BF3F_4488_9349_D417CF63AE1B_.wvu.PrintArea" localSheetId="1" hidden="1">'25年度決算'!$B$2:$H$64</definedName>
    <definedName name="Z_8CCCCA31_BF3F_4488_9349_D417CF63AE1B_.wvu.PrintArea" localSheetId="4" hidden="1">'凡例（施設）'!$B$2:$H$5</definedName>
    <definedName name="Z_8CCCCA31_BF3F_4488_9349_D417CF63AE1B_.wvu.PrintArea" localSheetId="0" hidden="1">'令和２年度決算(施設)'!$B$3:$H$60</definedName>
    <definedName name="Z_8CCCCA31_BF3F_4488_9349_D417CF63AE1B_.wvu.PrintTitles" localSheetId="3" hidden="1">'23年度決算（参考・公表済み）'!$3:$4</definedName>
    <definedName name="Z_8CCCCA31_BF3F_4488_9349_D417CF63AE1B_.wvu.PrintTitles" localSheetId="2" hidden="1">'24年度決算'!$3:$4</definedName>
    <definedName name="Z_8CCCCA31_BF3F_4488_9349_D417CF63AE1B_.wvu.PrintTitles" localSheetId="1" hidden="1">'25年度決算'!$3:$4</definedName>
    <definedName name="Z_8CCCCA31_BF3F_4488_9349_D417CF63AE1B_.wvu.PrintTitles" localSheetId="4" hidden="1">'凡例（施設）'!$3:$4</definedName>
    <definedName name="Z_8CCCCA31_BF3F_4488_9349_D417CF63AE1B_.wvu.PrintTitles" localSheetId="0" hidden="1">'令和２年度決算(施設)'!$4:$5</definedName>
    <definedName name="Z_8D76E8D6_E6B7_4665_8DEB_FBB31F806642_.wvu.FilterData" localSheetId="0" hidden="1">'令和２年度決算(施設)'!$A$4:$N$60</definedName>
    <definedName name="Z_8EA625F0_5D2E_4E9B_8B85_5A4134DD8279_.wvu.Cols" localSheetId="0" hidden="1">'令和２年度決算(施設)'!#REF!,'令和２年度決算(施設)'!#REF!,'令和２年度決算(施設)'!#REF!,'令和２年度決算(施設)'!#REF!</definedName>
    <definedName name="Z_8EA625F0_5D2E_4E9B_8B85_5A4134DD8279_.wvu.FilterData" localSheetId="3" hidden="1">'23年度決算（参考・公表済み）'!$B$3:$L$64</definedName>
    <definedName name="Z_8EA625F0_5D2E_4E9B_8B85_5A4134DD8279_.wvu.FilterData" localSheetId="2" hidden="1">'24年度決算'!$B$3:$L$64</definedName>
    <definedName name="Z_8EA625F0_5D2E_4E9B_8B85_5A4134DD8279_.wvu.FilterData" localSheetId="1" hidden="1">'25年度決算'!$B$3:$L$64</definedName>
    <definedName name="Z_8EA625F0_5D2E_4E9B_8B85_5A4134DD8279_.wvu.FilterData" localSheetId="4" hidden="1">'凡例（施設）'!$B$3:$L$5</definedName>
    <definedName name="Z_8EA625F0_5D2E_4E9B_8B85_5A4134DD8279_.wvu.FilterData" localSheetId="0" hidden="1">'令和２年度決算(施設)'!$A$5:$N$60</definedName>
    <definedName name="Z_8EA625F0_5D2E_4E9B_8B85_5A4134DD8279_.wvu.PrintArea" localSheetId="3" hidden="1">'23年度決算（参考・公表済み）'!$A$1:$M$72</definedName>
    <definedName name="Z_8EA625F0_5D2E_4E9B_8B85_5A4134DD8279_.wvu.PrintArea" localSheetId="2" hidden="1">'24年度決算'!$A$1:$M$72</definedName>
    <definedName name="Z_8EA625F0_5D2E_4E9B_8B85_5A4134DD8279_.wvu.PrintArea" localSheetId="4" hidden="1">'凡例（施設）'!$A$1:$L$39</definedName>
    <definedName name="Z_8EA625F0_5D2E_4E9B_8B85_5A4134DD8279_.wvu.PrintTitles" localSheetId="3" hidden="1">'23年度決算（参考・公表済み）'!$B:$C,'23年度決算（参考・公表済み）'!$3:$4</definedName>
    <definedName name="Z_8EA625F0_5D2E_4E9B_8B85_5A4134DD8279_.wvu.PrintTitles" localSheetId="2" hidden="1">'24年度決算'!$B:$C,'24年度決算'!$3:$4</definedName>
    <definedName name="Z_8EA625F0_5D2E_4E9B_8B85_5A4134DD8279_.wvu.PrintTitles" localSheetId="4" hidden="1">'凡例（施設）'!$B:$C,'凡例（施設）'!$3:$4</definedName>
    <definedName name="Z_91253A79_F2DA_441A_A2FB_F77904F083A4_.wvu.FilterData" localSheetId="0" hidden="1">'令和２年度決算(施設)'!$A$5:$N$60</definedName>
    <definedName name="Z_92469751_EA1A_4655_A8DE_B0733E860301_.wvu.FilterData" localSheetId="3" hidden="1">'23年度決算（参考・公表済み）'!$B$3:$L$64</definedName>
    <definedName name="Z_92469751_EA1A_4655_A8DE_B0733E860301_.wvu.FilterData" localSheetId="2" hidden="1">'24年度決算'!$B$3:$L$64</definedName>
    <definedName name="Z_92469751_EA1A_4655_A8DE_B0733E860301_.wvu.FilterData" localSheetId="1" hidden="1">'25年度決算'!$B$3:$L$64</definedName>
    <definedName name="Z_92469751_EA1A_4655_A8DE_B0733E860301_.wvu.FilterData" localSheetId="4" hidden="1">'凡例（施設）'!$B$3:$L$5</definedName>
    <definedName name="Z_92469751_EA1A_4655_A8DE_B0733E860301_.wvu.FilterData" localSheetId="0" hidden="1">'令和２年度決算(施設)'!$A$4:$N$60</definedName>
    <definedName name="Z_92469751_EA1A_4655_A8DE_B0733E860301_.wvu.PrintArea" localSheetId="3" hidden="1">'23年度決算（参考・公表済み）'!$A$1:$M$72</definedName>
    <definedName name="Z_92469751_EA1A_4655_A8DE_B0733E860301_.wvu.PrintArea" localSheetId="2" hidden="1">'24年度決算'!$A$1:$M$72</definedName>
    <definedName name="Z_92469751_EA1A_4655_A8DE_B0733E860301_.wvu.PrintArea" localSheetId="4" hidden="1">'凡例（施設）'!$A$1:$L$39</definedName>
    <definedName name="Z_92469751_EA1A_4655_A8DE_B0733E860301_.wvu.PrintTitles" localSheetId="3" hidden="1">'23年度決算（参考・公表済み）'!$B:$C,'23年度決算（参考・公表済み）'!$3:$4</definedName>
    <definedName name="Z_92469751_EA1A_4655_A8DE_B0733E860301_.wvu.PrintTitles" localSheetId="2" hidden="1">'24年度決算'!$B:$C,'24年度決算'!$3:$4</definedName>
    <definedName name="Z_92469751_EA1A_4655_A8DE_B0733E860301_.wvu.PrintTitles" localSheetId="4" hidden="1">'凡例（施設）'!$B:$C,'凡例（施設）'!$3:$4</definedName>
    <definedName name="Z_98E8C3D6_8FBF_4D5C_8624_4C53BC7003C2_.wvu.Cols" localSheetId="0" hidden="1">'令和２年度決算(施設)'!#REF!,'令和２年度決算(施設)'!#REF!,'令和２年度決算(施設)'!#REF!,'令和２年度決算(施設)'!#REF!</definedName>
    <definedName name="Z_98E8C3D6_8FBF_4D5C_8624_4C53BC7003C2_.wvu.FilterData" localSheetId="3" hidden="1">'23年度決算（参考・公表済み）'!$B$3:$L$64</definedName>
    <definedName name="Z_98E8C3D6_8FBF_4D5C_8624_4C53BC7003C2_.wvu.FilterData" localSheetId="2" hidden="1">'24年度決算'!$B$3:$L$64</definedName>
    <definedName name="Z_98E8C3D6_8FBF_4D5C_8624_4C53BC7003C2_.wvu.FilterData" localSheetId="1" hidden="1">'25年度決算'!$B$3:$L$64</definedName>
    <definedName name="Z_98E8C3D6_8FBF_4D5C_8624_4C53BC7003C2_.wvu.FilterData" localSheetId="4" hidden="1">'凡例（施設）'!$B$3:$L$5</definedName>
    <definedName name="Z_98E8C3D6_8FBF_4D5C_8624_4C53BC7003C2_.wvu.FilterData" localSheetId="0" hidden="1">'令和２年度決算(施設)'!$A$5:$N$60</definedName>
    <definedName name="Z_98E8C3D6_8FBF_4D5C_8624_4C53BC7003C2_.wvu.PrintArea" localSheetId="3" hidden="1">'23年度決算（参考・公表済み）'!$A$1:$M$72</definedName>
    <definedName name="Z_98E8C3D6_8FBF_4D5C_8624_4C53BC7003C2_.wvu.PrintArea" localSheetId="2" hidden="1">'24年度決算'!$A$1:$M$72</definedName>
    <definedName name="Z_98E8C3D6_8FBF_4D5C_8624_4C53BC7003C2_.wvu.PrintArea" localSheetId="4" hidden="1">'凡例（施設）'!$A$1:$L$39</definedName>
    <definedName name="Z_98E8C3D6_8FBF_4D5C_8624_4C53BC7003C2_.wvu.PrintTitles" localSheetId="3" hidden="1">'23年度決算（参考・公表済み）'!$B:$C,'23年度決算（参考・公表済み）'!$3:$4</definedName>
    <definedName name="Z_98E8C3D6_8FBF_4D5C_8624_4C53BC7003C2_.wvu.PrintTitles" localSheetId="2" hidden="1">'24年度決算'!$B:$C,'24年度決算'!$3:$4</definedName>
    <definedName name="Z_98E8C3D6_8FBF_4D5C_8624_4C53BC7003C2_.wvu.PrintTitles" localSheetId="4" hidden="1">'凡例（施設）'!$B:$C,'凡例（施設）'!$3:$4</definedName>
    <definedName name="Z_A0FF5FE9_963B_4465_B2FA_FC8073C4F0AC_.wvu.FilterData" localSheetId="0" hidden="1">'令和２年度決算(施設)'!$A$5:$N$60</definedName>
    <definedName name="Z_A2060EB8_04D7_4410_B680_6694C82F7437_.wvu.Cols" localSheetId="3" hidden="1">'23年度決算（参考・公表済み）'!#REF!,'23年度決算（参考・公表済み）'!$F:$H</definedName>
    <definedName name="Z_A2060EB8_04D7_4410_B680_6694C82F7437_.wvu.Cols" localSheetId="2" hidden="1">'24年度決算'!#REF!,'24年度決算'!$F:$H</definedName>
    <definedName name="Z_A2060EB8_04D7_4410_B680_6694C82F7437_.wvu.Cols" localSheetId="1" hidden="1">'25年度決算'!#REF!,'25年度決算'!$F:$H</definedName>
    <definedName name="Z_A2060EB8_04D7_4410_B680_6694C82F7437_.wvu.Cols" localSheetId="4" hidden="1">'凡例（施設）'!#REF!,'凡例（施設）'!$F:$H</definedName>
    <definedName name="Z_A2060EB8_04D7_4410_B680_6694C82F7437_.wvu.Cols" localSheetId="0" hidden="1">'令和２年度決算(施設)'!#REF!,'令和２年度決算(施設)'!$F:$H</definedName>
    <definedName name="Z_A2060EB8_04D7_4410_B680_6694C82F7437_.wvu.FilterData" localSheetId="3" hidden="1">'23年度決算（参考・公表済み）'!$B$3:$L$64</definedName>
    <definedName name="Z_A2060EB8_04D7_4410_B680_6694C82F7437_.wvu.FilterData" localSheetId="2" hidden="1">'24年度決算'!$B$3:$L$64</definedName>
    <definedName name="Z_A2060EB8_04D7_4410_B680_6694C82F7437_.wvu.FilterData" localSheetId="1" hidden="1">'25年度決算'!$B$3:$L$64</definedName>
    <definedName name="Z_A2060EB8_04D7_4410_B680_6694C82F7437_.wvu.FilterData" localSheetId="4" hidden="1">'凡例（施設）'!$B$3:$L$5</definedName>
    <definedName name="Z_A2060EB8_04D7_4410_B680_6694C82F7437_.wvu.FilterData" localSheetId="0" hidden="1">'令和２年度決算(施設)'!$B$4:$L$60</definedName>
    <definedName name="Z_A2060EB8_04D7_4410_B680_6694C82F7437_.wvu.PrintArea" localSheetId="3" hidden="1">'23年度決算（参考・公表済み）'!$B$2:$H$64</definedName>
    <definedName name="Z_A2060EB8_04D7_4410_B680_6694C82F7437_.wvu.PrintArea" localSheetId="2" hidden="1">'24年度決算'!$B$2:$H$64</definedName>
    <definedName name="Z_A2060EB8_04D7_4410_B680_6694C82F7437_.wvu.PrintArea" localSheetId="1" hidden="1">'25年度決算'!$B$2:$H$64</definedName>
    <definedName name="Z_A2060EB8_04D7_4410_B680_6694C82F7437_.wvu.PrintArea" localSheetId="4" hidden="1">'凡例（施設）'!$B$2:$H$5</definedName>
    <definedName name="Z_A2060EB8_04D7_4410_B680_6694C82F7437_.wvu.PrintArea" localSheetId="0" hidden="1">'令和２年度決算(施設)'!$B$3:$H$60</definedName>
    <definedName name="Z_A2060EB8_04D7_4410_B680_6694C82F7437_.wvu.PrintTitles" localSheetId="3" hidden="1">'23年度決算（参考・公表済み）'!$3:$4</definedName>
    <definedName name="Z_A2060EB8_04D7_4410_B680_6694C82F7437_.wvu.PrintTitles" localSheetId="2" hidden="1">'24年度決算'!$3:$4</definedName>
    <definedName name="Z_A2060EB8_04D7_4410_B680_6694C82F7437_.wvu.PrintTitles" localSheetId="1" hidden="1">'25年度決算'!$3:$4</definedName>
    <definedName name="Z_A2060EB8_04D7_4410_B680_6694C82F7437_.wvu.PrintTitles" localSheetId="4" hidden="1">'凡例（施設）'!$3:$4</definedName>
    <definedName name="Z_A2060EB8_04D7_4410_B680_6694C82F7437_.wvu.PrintTitles" localSheetId="0" hidden="1">'令和２年度決算(施設)'!$4:$5</definedName>
    <definedName name="Z_A2060EB8_04D7_4410_B680_6694C82F7437_.wvu.Rows" localSheetId="3" hidden="1">'23年度決算（参考・公表済み）'!#REF!</definedName>
    <definedName name="Z_A2060EB8_04D7_4410_B680_6694C82F7437_.wvu.Rows" localSheetId="2" hidden="1">'24年度決算'!#REF!</definedName>
    <definedName name="Z_A2060EB8_04D7_4410_B680_6694C82F7437_.wvu.Rows" localSheetId="1" hidden="1">'25年度決算'!#REF!</definedName>
    <definedName name="Z_A2060EB8_04D7_4410_B680_6694C82F7437_.wvu.Rows" localSheetId="4" hidden="1">'凡例（施設）'!#REF!</definedName>
    <definedName name="Z_A2060EB8_04D7_4410_B680_6694C82F7437_.wvu.Rows" localSheetId="0" hidden="1">'令和２年度決算(施設)'!#REF!</definedName>
    <definedName name="Z_A92F8FF7_940C_4369_B6E9_177F598A060F_.wvu.FilterData" localSheetId="3" hidden="1">'23年度決算（参考・公表済み）'!$B$3:$L$64</definedName>
    <definedName name="Z_A92F8FF7_940C_4369_B6E9_177F598A060F_.wvu.FilterData" localSheetId="2" hidden="1">'24年度決算'!$B$3:$L$64</definedName>
    <definedName name="Z_A92F8FF7_940C_4369_B6E9_177F598A060F_.wvu.FilterData" localSheetId="1" hidden="1">'25年度決算'!$B$3:$L$64</definedName>
    <definedName name="Z_A92F8FF7_940C_4369_B6E9_177F598A060F_.wvu.FilterData" localSheetId="4" hidden="1">'凡例（施設）'!$B$3:$L$5</definedName>
    <definedName name="Z_A92F8FF7_940C_4369_B6E9_177F598A060F_.wvu.FilterData" localSheetId="0" hidden="1">'令和２年度決算(施設)'!$A$4:$N$60</definedName>
    <definedName name="Z_A92F8FF7_940C_4369_B6E9_177F598A060F_.wvu.PrintArea" localSheetId="3" hidden="1">'23年度決算（参考・公表済み）'!$A$1:$M$72</definedName>
    <definedName name="Z_A92F8FF7_940C_4369_B6E9_177F598A060F_.wvu.PrintArea" localSheetId="2" hidden="1">'24年度決算'!$A$1:$M$72</definedName>
    <definedName name="Z_A92F8FF7_940C_4369_B6E9_177F598A060F_.wvu.PrintArea" localSheetId="1" hidden="1">'25年度決算'!$A$1:$M$72</definedName>
    <definedName name="Z_A92F8FF7_940C_4369_B6E9_177F598A060F_.wvu.PrintArea" localSheetId="4" hidden="1">'凡例（施設）'!$A$1:$L$39</definedName>
    <definedName name="Z_A92F8FF7_940C_4369_B6E9_177F598A060F_.wvu.PrintArea" localSheetId="0" hidden="1">'令和２年度決算(施設)'!$A$1:$N$68</definedName>
    <definedName name="Z_A92F8FF7_940C_4369_B6E9_177F598A060F_.wvu.PrintTitles" localSheetId="3" hidden="1">'23年度決算（参考・公表済み）'!$B:$C,'23年度決算（参考・公表済み）'!$3:$4</definedName>
    <definedName name="Z_A92F8FF7_940C_4369_B6E9_177F598A060F_.wvu.PrintTitles" localSheetId="2" hidden="1">'24年度決算'!$B:$C,'24年度決算'!$3:$4</definedName>
    <definedName name="Z_A92F8FF7_940C_4369_B6E9_177F598A060F_.wvu.PrintTitles" localSheetId="1" hidden="1">'25年度決算'!$B:$C,'25年度決算'!$3:$4</definedName>
    <definedName name="Z_A92F8FF7_940C_4369_B6E9_177F598A060F_.wvu.PrintTitles" localSheetId="4" hidden="1">'凡例（施設）'!$B:$C,'凡例（施設）'!$3:$4</definedName>
    <definedName name="Z_A92F8FF7_940C_4369_B6E9_177F598A060F_.wvu.PrintTitles" localSheetId="0" hidden="1">'令和２年度決算(施設)'!$B:$C,'令和２年度決算(施設)'!$4:$5</definedName>
    <definedName name="Z_AC5D4131_12C8_4117_9087_BAF7435F9B53_.wvu.FilterData" localSheetId="3" hidden="1">'23年度決算（参考・公表済み）'!$B$3:$L$64</definedName>
    <definedName name="Z_AC5D4131_12C8_4117_9087_BAF7435F9B53_.wvu.FilterData" localSheetId="2" hidden="1">'24年度決算'!$B$3:$L$64</definedName>
    <definedName name="Z_AC5D4131_12C8_4117_9087_BAF7435F9B53_.wvu.FilterData" localSheetId="1" hidden="1">'25年度決算'!$B$3:$L$64</definedName>
    <definedName name="Z_AC5D4131_12C8_4117_9087_BAF7435F9B53_.wvu.FilterData" localSheetId="4" hidden="1">'凡例（施設）'!$B$3:$L$5</definedName>
    <definedName name="Z_AC5D4131_12C8_4117_9087_BAF7435F9B53_.wvu.FilterData" localSheetId="0" hidden="1">'令和２年度決算(施設)'!$A$5:$N$60</definedName>
    <definedName name="Z_AC5D4131_12C8_4117_9087_BAF7435F9B53_.wvu.PrintArea" localSheetId="3" hidden="1">'23年度決算（参考・公表済み）'!$A$1:$M$72</definedName>
    <definedName name="Z_AC5D4131_12C8_4117_9087_BAF7435F9B53_.wvu.PrintArea" localSheetId="2" hidden="1">'24年度決算'!$A$1:$M$72</definedName>
    <definedName name="Z_AC5D4131_12C8_4117_9087_BAF7435F9B53_.wvu.PrintArea" localSheetId="4" hidden="1">'凡例（施設）'!$A$1:$L$39</definedName>
    <definedName name="Z_AC5D4131_12C8_4117_9087_BAF7435F9B53_.wvu.PrintTitles" localSheetId="3" hidden="1">'23年度決算（参考・公表済み）'!$B:$C,'23年度決算（参考・公表済み）'!$3:$4</definedName>
    <definedName name="Z_AC5D4131_12C8_4117_9087_BAF7435F9B53_.wvu.PrintTitles" localSheetId="2" hidden="1">'24年度決算'!$B:$C,'24年度決算'!$3:$4</definedName>
    <definedName name="Z_AC5D4131_12C8_4117_9087_BAF7435F9B53_.wvu.PrintTitles" localSheetId="4" hidden="1">'凡例（施設）'!$B:$C,'凡例（施設）'!$3:$4</definedName>
    <definedName name="Z_B1B896AC_861D_4BED_A785_C2A9799B23E6_.wvu.Cols" localSheetId="0" hidden="1">'令和２年度決算(施設)'!#REF!,'令和２年度決算(施設)'!#REF!,'令和２年度決算(施設)'!#REF!,'令和２年度決算(施設)'!#REF!</definedName>
    <definedName name="Z_B1B896AC_861D_4BED_A785_C2A9799B23E6_.wvu.FilterData" localSheetId="3" hidden="1">'23年度決算（参考・公表済み）'!$B$3:$L$64</definedName>
    <definedName name="Z_B1B896AC_861D_4BED_A785_C2A9799B23E6_.wvu.FilterData" localSheetId="2" hidden="1">'24年度決算'!$B$3:$L$64</definedName>
    <definedName name="Z_B1B896AC_861D_4BED_A785_C2A9799B23E6_.wvu.FilterData" localSheetId="1" hidden="1">'25年度決算'!$B$3:$L$64</definedName>
    <definedName name="Z_B1B896AC_861D_4BED_A785_C2A9799B23E6_.wvu.FilterData" localSheetId="4" hidden="1">'凡例（施設）'!$B$3:$L$5</definedName>
    <definedName name="Z_B1B896AC_861D_4BED_A785_C2A9799B23E6_.wvu.FilterData" localSheetId="0" hidden="1">'令和２年度決算(施設)'!$A$4:$N$60</definedName>
    <definedName name="Z_B1B896AC_861D_4BED_A785_C2A9799B23E6_.wvu.PrintArea" localSheetId="3" hidden="1">'23年度決算（参考・公表済み）'!$A$1:$M$72</definedName>
    <definedName name="Z_B1B896AC_861D_4BED_A785_C2A9799B23E6_.wvu.PrintArea" localSheetId="2" hidden="1">'24年度決算'!$A$1:$M$72</definedName>
    <definedName name="Z_B1B896AC_861D_4BED_A785_C2A9799B23E6_.wvu.PrintArea" localSheetId="1" hidden="1">'25年度決算'!$A$1:$M$72</definedName>
    <definedName name="Z_B1B896AC_861D_4BED_A785_C2A9799B23E6_.wvu.PrintArea" localSheetId="4" hidden="1">'凡例（施設）'!$A$1:$L$39</definedName>
    <definedName name="Z_B1B896AC_861D_4BED_A785_C2A9799B23E6_.wvu.PrintArea" localSheetId="0" hidden="1">'令和２年度決算(施設)'!$A$1:$N$68</definedName>
    <definedName name="Z_B1B896AC_861D_4BED_A785_C2A9799B23E6_.wvu.PrintTitles" localSheetId="3" hidden="1">'23年度決算（参考・公表済み）'!$B:$C,'23年度決算（参考・公表済み）'!$3:$4</definedName>
    <definedName name="Z_B1B896AC_861D_4BED_A785_C2A9799B23E6_.wvu.PrintTitles" localSheetId="2" hidden="1">'24年度決算'!$B:$C,'24年度決算'!$3:$4</definedName>
    <definedName name="Z_B1B896AC_861D_4BED_A785_C2A9799B23E6_.wvu.PrintTitles" localSheetId="1" hidden="1">'25年度決算'!$B:$C,'25年度決算'!$3:$4</definedName>
    <definedName name="Z_B1B896AC_861D_4BED_A785_C2A9799B23E6_.wvu.PrintTitles" localSheetId="4" hidden="1">'凡例（施設）'!$B:$C,'凡例（施設）'!$3:$4</definedName>
    <definedName name="Z_B1B896AC_861D_4BED_A785_C2A9799B23E6_.wvu.PrintTitles" localSheetId="0" hidden="1">'令和２年度決算(施設)'!$B:$C,'令和２年度決算(施設)'!$4:$5</definedName>
    <definedName name="Z_BB034A02_4157_4F4C_970A_104573BB908D_.wvu.Cols" localSheetId="0" hidden="1">'令和２年度決算(施設)'!#REF!,'令和２年度決算(施設)'!#REF!,'令和２年度決算(施設)'!#REF!,'令和２年度決算(施設)'!#REF!</definedName>
    <definedName name="Z_BB034A02_4157_4F4C_970A_104573BB908D_.wvu.FilterData" localSheetId="3" hidden="1">'23年度決算（参考・公表済み）'!$B$3:$L$64</definedName>
    <definedName name="Z_BB034A02_4157_4F4C_970A_104573BB908D_.wvu.FilterData" localSheetId="2" hidden="1">'24年度決算'!$B$3:$L$64</definedName>
    <definedName name="Z_BB034A02_4157_4F4C_970A_104573BB908D_.wvu.FilterData" localSheetId="1" hidden="1">'25年度決算'!$B$3:$L$64</definedName>
    <definedName name="Z_BB034A02_4157_4F4C_970A_104573BB908D_.wvu.FilterData" localSheetId="4" hidden="1">'凡例（施設）'!$B$3:$L$5</definedName>
    <definedName name="Z_BB034A02_4157_4F4C_970A_104573BB908D_.wvu.FilterData" localSheetId="0" hidden="1">'令和２年度決算(施設)'!$A$4:$N$60</definedName>
    <definedName name="Z_BB034A02_4157_4F4C_970A_104573BB908D_.wvu.PrintArea" localSheetId="3" hidden="1">'23年度決算（参考・公表済み）'!$A$1:$M$72</definedName>
    <definedName name="Z_BB034A02_4157_4F4C_970A_104573BB908D_.wvu.PrintArea" localSheetId="2" hidden="1">'24年度決算'!$A$1:$M$72</definedName>
    <definedName name="Z_BB034A02_4157_4F4C_970A_104573BB908D_.wvu.PrintArea" localSheetId="4" hidden="1">'凡例（施設）'!$A$1:$L$39</definedName>
    <definedName name="Z_BB034A02_4157_4F4C_970A_104573BB908D_.wvu.PrintTitles" localSheetId="3" hidden="1">'23年度決算（参考・公表済み）'!$B:$C,'23年度決算（参考・公表済み）'!$3:$4</definedName>
    <definedName name="Z_BB034A02_4157_4F4C_970A_104573BB908D_.wvu.PrintTitles" localSheetId="2" hidden="1">'24年度決算'!$B:$C,'24年度決算'!$3:$4</definedName>
    <definedName name="Z_BB034A02_4157_4F4C_970A_104573BB908D_.wvu.PrintTitles" localSheetId="4" hidden="1">'凡例（施設）'!$B:$C,'凡例（施設）'!$3:$4</definedName>
    <definedName name="Z_C1B02F2D_EA20_4EB1_9E59_0AF845968A15_.wvu.FilterData" localSheetId="0" hidden="1">'令和２年度決算(施設)'!$A$4:$N$60</definedName>
    <definedName name="Z_C205DA16_5161_4958_A263_BDFBDA0A2D39_.wvu.FilterData" localSheetId="0" hidden="1">'令和２年度決算(施設)'!$A$4:$N$60</definedName>
    <definedName name="Z_C2EE5954_9791_4212_8389_87F2B1BCEDE3_.wvu.FilterData" localSheetId="3" hidden="1">'23年度決算（参考・公表済み）'!$B$3:$L$64</definedName>
    <definedName name="Z_C2EE5954_9791_4212_8389_87F2B1BCEDE3_.wvu.FilterData" localSheetId="2" hidden="1">'24年度決算'!$B$3:$L$64</definedName>
    <definedName name="Z_C2EE5954_9791_4212_8389_87F2B1BCEDE3_.wvu.FilterData" localSheetId="1" hidden="1">'25年度決算'!$B$3:$L$64</definedName>
    <definedName name="Z_C2EE5954_9791_4212_8389_87F2B1BCEDE3_.wvu.FilterData" localSheetId="4" hidden="1">'凡例（施設）'!$B$3:$L$5</definedName>
    <definedName name="Z_C2EE5954_9791_4212_8389_87F2B1BCEDE3_.wvu.FilterData" localSheetId="0" hidden="1">'令和２年度決算(施設)'!$A$4:$N$60</definedName>
    <definedName name="Z_C2EE5954_9791_4212_8389_87F2B1BCEDE3_.wvu.PrintArea" localSheetId="3" hidden="1">'23年度決算（参考・公表済み）'!$A$1:$M$72</definedName>
    <definedName name="Z_C2EE5954_9791_4212_8389_87F2B1BCEDE3_.wvu.PrintArea" localSheetId="2" hidden="1">'24年度決算'!$A$1:$M$72</definedName>
    <definedName name="Z_C2EE5954_9791_4212_8389_87F2B1BCEDE3_.wvu.PrintArea" localSheetId="1" hidden="1">'25年度決算'!$A$1:$M$72</definedName>
    <definedName name="Z_C2EE5954_9791_4212_8389_87F2B1BCEDE3_.wvu.PrintArea" localSheetId="4" hidden="1">'凡例（施設）'!$A$1:$L$39</definedName>
    <definedName name="Z_C2EE5954_9791_4212_8389_87F2B1BCEDE3_.wvu.PrintTitles" localSheetId="3" hidden="1">'23年度決算（参考・公表済み）'!$B:$C,'23年度決算（参考・公表済み）'!$3:$4</definedName>
    <definedName name="Z_C2EE5954_9791_4212_8389_87F2B1BCEDE3_.wvu.PrintTitles" localSheetId="2" hidden="1">'24年度決算'!$B:$C,'24年度決算'!$3:$4</definedName>
    <definedName name="Z_C2EE5954_9791_4212_8389_87F2B1BCEDE3_.wvu.PrintTitles" localSheetId="1" hidden="1">'25年度決算'!$B:$C,'25年度決算'!$3:$4</definedName>
    <definedName name="Z_C2EE5954_9791_4212_8389_87F2B1BCEDE3_.wvu.PrintTitles" localSheetId="4" hidden="1">'凡例（施設）'!$B:$C,'凡例（施設）'!$3:$4</definedName>
    <definedName name="Z_C7C2E1F7_8D25_45A3_98C8_F22E332F6CE0_.wvu.FilterData" localSheetId="3" hidden="1">'23年度決算（参考・公表済み）'!$B$3:$L$64</definedName>
    <definedName name="Z_C7C2E1F7_8D25_45A3_98C8_F22E332F6CE0_.wvu.FilterData" localSheetId="2" hidden="1">'24年度決算'!$B$3:$L$64</definedName>
    <definedName name="Z_C7C2E1F7_8D25_45A3_98C8_F22E332F6CE0_.wvu.FilterData" localSheetId="1" hidden="1">'25年度決算'!$B$3:$L$64</definedName>
    <definedName name="Z_C7C2E1F7_8D25_45A3_98C8_F22E332F6CE0_.wvu.FilterData" localSheetId="4" hidden="1">'凡例（施設）'!$B$3:$L$5</definedName>
    <definedName name="Z_C7C2E1F7_8D25_45A3_98C8_F22E332F6CE0_.wvu.FilterData" localSheetId="0" hidden="1">'令和２年度決算(施設)'!$A$4:$N$60</definedName>
    <definedName name="Z_C7C2E1F7_8D25_45A3_98C8_F22E332F6CE0_.wvu.PrintArea" localSheetId="3" hidden="1">'23年度決算（参考・公表済み）'!$A$1:$M$72</definedName>
    <definedName name="Z_C7C2E1F7_8D25_45A3_98C8_F22E332F6CE0_.wvu.PrintArea" localSheetId="2" hidden="1">'24年度決算'!$A$1:$M$72</definedName>
    <definedName name="Z_C7C2E1F7_8D25_45A3_98C8_F22E332F6CE0_.wvu.PrintArea" localSheetId="1" hidden="1">'25年度決算'!$A$1:$M$72</definedName>
    <definedName name="Z_C7C2E1F7_8D25_45A3_98C8_F22E332F6CE0_.wvu.PrintArea" localSheetId="4" hidden="1">'凡例（施設）'!$A$1:$L$39</definedName>
    <definedName name="Z_C7C2E1F7_8D25_45A3_98C8_F22E332F6CE0_.wvu.PrintArea" localSheetId="0" hidden="1">'令和２年度決算(施設)'!$A:$L</definedName>
    <definedName name="Z_C7C2E1F7_8D25_45A3_98C8_F22E332F6CE0_.wvu.PrintTitles" localSheetId="3" hidden="1">'23年度決算（参考・公表済み）'!$B:$C,'23年度決算（参考・公表済み）'!$3:$4</definedName>
    <definedName name="Z_C7C2E1F7_8D25_45A3_98C8_F22E332F6CE0_.wvu.PrintTitles" localSheetId="2" hidden="1">'24年度決算'!$B:$C,'24年度決算'!$3:$4</definedName>
    <definedName name="Z_C7C2E1F7_8D25_45A3_98C8_F22E332F6CE0_.wvu.PrintTitles" localSheetId="1" hidden="1">'25年度決算'!$B:$C,'25年度決算'!$3:$4</definedName>
    <definedName name="Z_C7C2E1F7_8D25_45A3_98C8_F22E332F6CE0_.wvu.PrintTitles" localSheetId="4" hidden="1">'凡例（施設）'!$B:$C,'凡例（施設）'!$3:$4</definedName>
    <definedName name="Z_D4A96488_6408_401A_B242_47247BD68402_.wvu.FilterData" localSheetId="3" hidden="1">'23年度決算（参考・公表済み）'!$B$3:$L$64</definedName>
    <definedName name="Z_D4A96488_6408_401A_B242_47247BD68402_.wvu.FilterData" localSheetId="2" hidden="1">'24年度決算'!$B$3:$L$64</definedName>
    <definedName name="Z_D4A96488_6408_401A_B242_47247BD68402_.wvu.FilterData" localSheetId="1" hidden="1">'25年度決算'!$B$3:$L$64</definedName>
    <definedName name="Z_D4A96488_6408_401A_B242_47247BD68402_.wvu.FilterData" localSheetId="4" hidden="1">'凡例（施設）'!$B$3:$L$5</definedName>
    <definedName name="Z_D4A96488_6408_401A_B242_47247BD68402_.wvu.FilterData" localSheetId="0" hidden="1">'令和２年度決算(施設)'!$A$5:$N$5</definedName>
    <definedName name="Z_D4A96488_6408_401A_B242_47247BD68402_.wvu.PrintArea" localSheetId="3" hidden="1">'23年度決算（参考・公表済み）'!$A$1:$M$72</definedName>
    <definedName name="Z_D4A96488_6408_401A_B242_47247BD68402_.wvu.PrintArea" localSheetId="2" hidden="1">'24年度決算'!$A$1:$M$72</definedName>
    <definedName name="Z_D4A96488_6408_401A_B242_47247BD68402_.wvu.PrintArea" localSheetId="4" hidden="1">'凡例（施設）'!$A$1:$L$39</definedName>
    <definedName name="Z_D4A96488_6408_401A_B242_47247BD68402_.wvu.PrintArea" localSheetId="0" hidden="1">'令和２年度決算(施設)'!$A$1:$N$68</definedName>
    <definedName name="Z_D4A96488_6408_401A_B242_47247BD68402_.wvu.PrintTitles" localSheetId="3" hidden="1">'23年度決算（参考・公表済み）'!$B:$C,'23年度決算（参考・公表済み）'!$3:$4</definedName>
    <definedName name="Z_D4A96488_6408_401A_B242_47247BD68402_.wvu.PrintTitles" localSheetId="2" hidden="1">'24年度決算'!$B:$C,'24年度決算'!$3:$4</definedName>
    <definedName name="Z_D4A96488_6408_401A_B242_47247BD68402_.wvu.PrintTitles" localSheetId="4" hidden="1">'凡例（施設）'!$B:$C,'凡例（施設）'!$3:$4</definedName>
    <definedName name="Z_D4A96488_6408_401A_B242_47247BD68402_.wvu.PrintTitles" localSheetId="0" hidden="1">'令和２年度決算(施設)'!$B:$C,'令和２年度決算(施設)'!$4:$5</definedName>
    <definedName name="Z_DA39BF39_F3EE_46AF_B630_EA0A154525DB_.wvu.FilterData" localSheetId="0" hidden="1">'令和２年度決算(施設)'!$A$4:$N$60</definedName>
    <definedName name="Z_E63B6F26_5CA1_415A_AAF5_D842AA183F61_.wvu.FilterData" localSheetId="3" hidden="1">'23年度決算（参考・公表済み）'!$B$3:$L$64</definedName>
    <definedName name="Z_E63B6F26_5CA1_415A_AAF5_D842AA183F61_.wvu.FilterData" localSheetId="2" hidden="1">'24年度決算'!$B$3:$L$64</definedName>
    <definedName name="Z_E63B6F26_5CA1_415A_AAF5_D842AA183F61_.wvu.FilterData" localSheetId="1" hidden="1">'25年度決算'!$B$3:$L$64</definedName>
    <definedName name="Z_E63B6F26_5CA1_415A_AAF5_D842AA183F61_.wvu.FilterData" localSheetId="4" hidden="1">'凡例（施設）'!$B$3:$L$5</definedName>
    <definedName name="Z_E63B6F26_5CA1_415A_AAF5_D842AA183F61_.wvu.FilterData" localSheetId="0" hidden="1">'令和２年度決算(施設)'!$A$4:$N$60</definedName>
    <definedName name="Z_E63B6F26_5CA1_415A_AAF5_D842AA183F61_.wvu.PrintArea" localSheetId="3" hidden="1">'23年度決算（参考・公表済み）'!$A$1:$M$72</definedName>
    <definedName name="Z_E63B6F26_5CA1_415A_AAF5_D842AA183F61_.wvu.PrintArea" localSheetId="2" hidden="1">'24年度決算'!$A$1:$M$72</definedName>
    <definedName name="Z_E63B6F26_5CA1_415A_AAF5_D842AA183F61_.wvu.PrintArea" localSheetId="4" hidden="1">'凡例（施設）'!$A$1:$L$39</definedName>
    <definedName name="Z_E63B6F26_5CA1_415A_AAF5_D842AA183F61_.wvu.PrintTitles" localSheetId="3" hidden="1">'23年度決算（参考・公表済み）'!$B:$C,'23年度決算（参考・公表済み）'!$3:$4</definedName>
    <definedName name="Z_E63B6F26_5CA1_415A_AAF5_D842AA183F61_.wvu.PrintTitles" localSheetId="2" hidden="1">'24年度決算'!$B:$C,'24年度決算'!$3:$4</definedName>
    <definedName name="Z_E63B6F26_5CA1_415A_AAF5_D842AA183F61_.wvu.PrintTitles" localSheetId="4" hidden="1">'凡例（施設）'!$B:$C,'凡例（施設）'!$3:$4</definedName>
    <definedName name="Z_F00D68A2_E6D7_448C_B246_2FC7B0898C57_.wvu.Cols" localSheetId="0" hidden="1">'令和２年度決算(施設)'!#REF!,'令和２年度決算(施設)'!#REF!,'令和２年度決算(施設)'!#REF!,'令和２年度決算(施設)'!#REF!</definedName>
    <definedName name="Z_F00D68A2_E6D7_448C_B246_2FC7B0898C57_.wvu.FilterData" localSheetId="3" hidden="1">'23年度決算（参考・公表済み）'!$B$3:$L$64</definedName>
    <definedName name="Z_F00D68A2_E6D7_448C_B246_2FC7B0898C57_.wvu.FilterData" localSheetId="2" hidden="1">'24年度決算'!$B$3:$L$64</definedName>
    <definedName name="Z_F00D68A2_E6D7_448C_B246_2FC7B0898C57_.wvu.FilterData" localSheetId="1" hidden="1">'25年度決算'!$B$3:$L$64</definedName>
    <definedName name="Z_F00D68A2_E6D7_448C_B246_2FC7B0898C57_.wvu.FilterData" localSheetId="4" hidden="1">'凡例（施設）'!$B$3:$L$5</definedName>
    <definedName name="Z_F00D68A2_E6D7_448C_B246_2FC7B0898C57_.wvu.FilterData" localSheetId="0" hidden="1">'令和２年度決算(施設)'!$A$4:$N$60</definedName>
    <definedName name="Z_F00D68A2_E6D7_448C_B246_2FC7B0898C57_.wvu.PrintArea" localSheetId="3" hidden="1">'23年度決算（参考・公表済み）'!$A$1:$M$72</definedName>
    <definedName name="Z_F00D68A2_E6D7_448C_B246_2FC7B0898C57_.wvu.PrintArea" localSheetId="2" hidden="1">'24年度決算'!$A$1:$M$72</definedName>
    <definedName name="Z_F00D68A2_E6D7_448C_B246_2FC7B0898C57_.wvu.PrintArea" localSheetId="1" hidden="1">'25年度決算'!$A$1:$M$72</definedName>
    <definedName name="Z_F00D68A2_E6D7_448C_B246_2FC7B0898C57_.wvu.PrintArea" localSheetId="4" hidden="1">'凡例（施設）'!$A$1:$L$39</definedName>
    <definedName name="Z_F00D68A2_E6D7_448C_B246_2FC7B0898C57_.wvu.PrintArea" localSheetId="0" hidden="1">'令和２年度決算(施設)'!$A$1:$N$68</definedName>
    <definedName name="Z_F00D68A2_E6D7_448C_B246_2FC7B0898C57_.wvu.PrintTitles" localSheetId="3" hidden="1">'23年度決算（参考・公表済み）'!$B:$C,'23年度決算（参考・公表済み）'!$3:$4</definedName>
    <definedName name="Z_F00D68A2_E6D7_448C_B246_2FC7B0898C57_.wvu.PrintTitles" localSheetId="2" hidden="1">'24年度決算'!$B:$C,'24年度決算'!$3:$4</definedName>
    <definedName name="Z_F00D68A2_E6D7_448C_B246_2FC7B0898C57_.wvu.PrintTitles" localSheetId="1" hidden="1">'25年度決算'!$B:$C,'25年度決算'!$3:$4</definedName>
    <definedName name="Z_F00D68A2_E6D7_448C_B246_2FC7B0898C57_.wvu.PrintTitles" localSheetId="4" hidden="1">'凡例（施設）'!$B:$C,'凡例（施設）'!$3:$4</definedName>
    <definedName name="Z_F00D68A2_E6D7_448C_B246_2FC7B0898C57_.wvu.PrintTitles" localSheetId="0" hidden="1">'令和２年度決算(施設)'!$B:$C,'令和２年度決算(施設)'!$4:$5</definedName>
    <definedName name="Z_F61D973C_B322_4E3F_91AB_97FEEA952E82_.wvu.FilterData" localSheetId="3" hidden="1">'23年度決算（参考・公表済み）'!$B$3:$L$64</definedName>
    <definedName name="Z_F61D973C_B322_4E3F_91AB_97FEEA952E82_.wvu.FilterData" localSheetId="2" hidden="1">'24年度決算'!$B$3:$L$64</definedName>
    <definedName name="Z_F61D973C_B322_4E3F_91AB_97FEEA952E82_.wvu.FilterData" localSheetId="1" hidden="1">'25年度決算'!$B$3:$L$64</definedName>
    <definedName name="Z_F61D973C_B322_4E3F_91AB_97FEEA952E82_.wvu.FilterData" localSheetId="4" hidden="1">'凡例（施設）'!$B$3:$L$5</definedName>
    <definedName name="Z_F61D973C_B322_4E3F_91AB_97FEEA952E82_.wvu.FilterData" localSheetId="0" hidden="1">'令和２年度決算(施設)'!$A$5:$N$60</definedName>
    <definedName name="Z_F61D973C_B322_4E3F_91AB_97FEEA952E82_.wvu.PrintArea" localSheetId="3" hidden="1">'23年度決算（参考・公表済み）'!$A$1:$M$72</definedName>
    <definedName name="Z_F61D973C_B322_4E3F_91AB_97FEEA952E82_.wvu.PrintArea" localSheetId="2" hidden="1">'24年度決算'!$A$1:$M$72</definedName>
    <definedName name="Z_F61D973C_B322_4E3F_91AB_97FEEA952E82_.wvu.PrintArea" localSheetId="4" hidden="1">'凡例（施設）'!$A$1:$L$39</definedName>
    <definedName name="Z_F61D973C_B322_4E3F_91AB_97FEEA952E82_.wvu.PrintTitles" localSheetId="3" hidden="1">'23年度決算（参考・公表済み）'!$B:$C,'23年度決算（参考・公表済み）'!$3:$4</definedName>
    <definedName name="Z_F61D973C_B322_4E3F_91AB_97FEEA952E82_.wvu.PrintTitles" localSheetId="2" hidden="1">'24年度決算'!$B:$C,'24年度決算'!$3:$4</definedName>
    <definedName name="Z_F61D973C_B322_4E3F_91AB_97FEEA952E82_.wvu.PrintTitles" localSheetId="4" hidden="1">'凡例（施設）'!$B:$C,'凡例（施設）'!$3:$4</definedName>
    <definedName name="Z_FBC8A51E_9A49_47F0_B6E7_A8EDFB9ED9FD_.wvu.FilterData" localSheetId="3" hidden="1">'23年度決算（参考・公表済み）'!$B$3:$L$64</definedName>
    <definedName name="Z_FBC8A51E_9A49_47F0_B6E7_A8EDFB9ED9FD_.wvu.FilterData" localSheetId="2" hidden="1">'24年度決算'!$B$3:$L$64</definedName>
    <definedName name="Z_FBC8A51E_9A49_47F0_B6E7_A8EDFB9ED9FD_.wvu.FilterData" localSheetId="1" hidden="1">'25年度決算'!$B$3:$L$64</definedName>
    <definedName name="Z_FBC8A51E_9A49_47F0_B6E7_A8EDFB9ED9FD_.wvu.FilterData" localSheetId="4" hidden="1">'凡例（施設）'!$B$3:$L$5</definedName>
    <definedName name="Z_FBC8A51E_9A49_47F0_B6E7_A8EDFB9ED9FD_.wvu.FilterData" localSheetId="0" hidden="1">'令和２年度決算(施設)'!$A$4:$N$60</definedName>
    <definedName name="Z_FBC8A51E_9A49_47F0_B6E7_A8EDFB9ED9FD_.wvu.PrintArea" localSheetId="3" hidden="1">'23年度決算（参考・公表済み）'!$A$1:$M$72</definedName>
    <definedName name="Z_FBC8A51E_9A49_47F0_B6E7_A8EDFB9ED9FD_.wvu.PrintArea" localSheetId="2" hidden="1">'24年度決算'!$A$1:$M$72</definedName>
    <definedName name="Z_FBC8A51E_9A49_47F0_B6E7_A8EDFB9ED9FD_.wvu.PrintArea" localSheetId="1" hidden="1">'25年度決算'!$A$1:$M$72</definedName>
    <definedName name="Z_FBC8A51E_9A49_47F0_B6E7_A8EDFB9ED9FD_.wvu.PrintArea" localSheetId="4" hidden="1">'凡例（施設）'!$A$1:$L$39</definedName>
    <definedName name="Z_FBC8A51E_9A49_47F0_B6E7_A8EDFB9ED9FD_.wvu.PrintArea" localSheetId="0" hidden="1">'令和２年度決算(施設)'!$A$1:$N$68</definedName>
    <definedName name="Z_FBC8A51E_9A49_47F0_B6E7_A8EDFB9ED9FD_.wvu.PrintTitles" localSheetId="3" hidden="1">'23年度決算（参考・公表済み）'!$B:$C,'23年度決算（参考・公表済み）'!$3:$4</definedName>
    <definedName name="Z_FBC8A51E_9A49_47F0_B6E7_A8EDFB9ED9FD_.wvu.PrintTitles" localSheetId="2" hidden="1">'24年度決算'!$B:$C,'24年度決算'!$3:$4</definedName>
    <definedName name="Z_FBC8A51E_9A49_47F0_B6E7_A8EDFB9ED9FD_.wvu.PrintTitles" localSheetId="1" hidden="1">'25年度決算'!$B:$C,'25年度決算'!$3:$4</definedName>
    <definedName name="Z_FBC8A51E_9A49_47F0_B6E7_A8EDFB9ED9FD_.wvu.PrintTitles" localSheetId="4" hidden="1">'凡例（施設）'!$B:$C,'凡例（施設）'!$3:$4</definedName>
    <definedName name="Z_FBC8A51E_9A49_47F0_B6E7_A8EDFB9ED9FD_.wvu.PrintTitles" localSheetId="0" hidden="1">'令和２年度決算(施設)'!$B:$C,'令和２年度決算(施設)'!$4:$5</definedName>
  </definedNames>
  <calcPr calcId="162913"/>
  <customWorkbookViews>
    <customWorkbookView name="星野 響子 - 個人用ビュー" guid="{059B7AB1-A73C-4BC5-991D-327B0179F92D}" mergeInterval="0" personalView="1" maximized="1" xWindow="-8" yWindow="-8" windowWidth="1936" windowHeight="1056" activeSheetId="6"/>
    <customWorkbookView name="あきば - 個人用ビュー" guid="{5B8A0CAF-BC9B-4670-A91B-C7F9421BC3F7}" mergeInterval="0" personalView="1" maximized="1" xWindow="1358" yWindow="-8" windowWidth="1936" windowHeight="1056" activeSheetId="1"/>
    <customWorkbookView name="長谷川 実穂 - 個人用ビュー" guid="{7B95FA94-D01D-4528-A96E-188FD548573A}" mergeInterval="0" personalView="1" yWindow="40" windowWidth="960" windowHeight="1040" activeSheetId="6"/>
    <customWorkbookView name="小山 陽平 - 個人用ビュー" guid="{47AE5BBD-A385-41BE-B786-2DF2D65C20C7}" mergeInterval="0" personalView="1" xWindow="772" yWindow="53" windowWidth="1509" windowHeight="987" activeSheetId="1" showComments="commIndAndComment"/>
    <customWorkbookView name="萩原 礼行 - 個人用ビュー" guid="{A0FF5FE9-963B-4465-B2FA-FC8073C4F0AC}" mergeInterval="0" personalView="1" maximized="1" xWindow="1912" yWindow="-205" windowWidth="1296" windowHeight="1040" activeSheetId="1"/>
    <customWorkbookView name="古西 康朗 - 個人用ビュー" guid="{5D7BC948-B761-4C79-AFD0-CA72550D1ACD}" mergeInterval="0" personalView="1" maximized="1" xWindow="-8" yWindow="-8" windowWidth="1936" windowHeight="1056" activeSheetId="6"/>
    <customWorkbookView name="有賀 雅人 - 個人用ビュー" guid="{19095B01-EB70-4978-A824-089E8010321E}" mergeInterval="0" personalView="1" maximized="1" xWindow="-8" yWindow="-8" windowWidth="1936" windowHeight="1056" activeSheetId="6"/>
    <customWorkbookView name="大橋 礼昌 - 個人用ビュー" guid="{C7C2E1F7-8D25-45A3-98C8-F22E332F6CE0}" mergeInterval="0" personalView="1" maximized="1" xWindow="1912" yWindow="-8" windowWidth="1296" windowHeight="1000" activeSheetId="1" showComments="commIndAndComment"/>
    <customWorkbookView name="赤尾 祐次郎 - 個人用ビュー" guid="{C2EE5954-9791-4212-8389-87F2B1BCEDE3}" mergeInterval="0" personalView="1" windowWidth="960" windowHeight="1040" activeSheetId="6"/>
    <customWorkbookView name="BigBear - 個人用ビュー" guid="{0BB2ECCB-433A-478D-BC68-8EAEF57773B0}" mergeInterval="0" personalView="1" maximized="1" xWindow="-8" yWindow="-8" windowWidth="1936" windowHeight="1056" activeSheetId="1"/>
    <customWorkbookView name="財政課 - 個人用ビュー" guid="{BB034A02-4157-4F4C-970A-104573BB908D}" mergeInterval="0" personalView="1" maximized="1" xWindow="-8" yWindow="-8" windowWidth="1936" windowHeight="1056" activeSheetId="1"/>
    <customWorkbookView name="辻本 顕 - 個人用ビュー" guid="{92469751-EA1A-4655-A8DE-B0733E860301}" mergeInterval="0" personalView="1" windowWidth="1920" windowHeight="1040" activeSheetId="1"/>
    <customWorkbookView name="松永　真 - 個人用ビュー" guid="{48DF1A33-946D-4268-BBCF-1269014A917F}" mergeInterval="0" personalView="1" maximized="1" windowWidth="1276" windowHeight="740" activeSheetId="6"/>
    <customWorkbookView name="ようこそ財政課へ - 個人用ビュー" guid="{A92F8FF7-940C-4369-B6E9-177F598A060F}" mergeInterval="0" personalView="1" maximized="1" windowWidth="1276" windowHeight="794" activeSheetId="1"/>
    <customWorkbookView name="tokieda - 個人用ビュー" guid="{4724C107-2586-4CA4-AE84-701A5ED764F6}" mergeInterval="0" personalView="1" xWindow="649" yWindow="31" windowWidth="622" windowHeight="614" activeSheetId="1"/>
    <customWorkbookView name="sysmente - 個人用ビュー" guid="{FBC8A51E-9A49-47F0-B6E7-A8EDFB9ED9FD}"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品田 陽平 - 個人用ビュー" guid="{B1B896AC-861D-4BED-A785-C2A9799B23E6}"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濱畠 亮平 - 個人用ビュー" guid="{8BD64CB5-C1EB-4DA0-9E9E-C91E7594013A}" mergeInterval="0" personalView="1" maximized="1" xWindow="-8" yWindow="-8" windowWidth="1936" windowHeight="1056" activeSheetId="1"/>
    <customWorkbookView name="suzuki - 個人用ビュー" guid="{E63B6F26-5CA1-415A-AAF5-D842AA183F61}" mergeInterval="0" personalView="1" maximized="1" windowWidth="1276" windowHeight="794" activeSheetId="1"/>
    <customWorkbookView name="藤ﾉ木 圭太 - 個人用ビュー" guid="{044D20CE-B695-4BC1-A3B0-D60A68B6D73D}" mergeInterval="0" personalView="1" maximized="1" xWindow="-8" yWindow="-8" windowWidth="1936" windowHeight="1056" activeSheetId="6"/>
    <customWorkbookView name="ONODERA - 個人用ビュー" guid="{1ADEBCB8-9FB3-4DB2-BD49-E19DCBC61CF4}" mergeInterval="0" personalView="1" xWindow="294" windowWidth="929" windowHeight="1080" activeSheetId="6"/>
    <customWorkbookView name="中川 優貴 - 個人用ビュー" guid="{8861AE24-1F01-42AD-BF50-4516A37941DC}" mergeInterval="0" personalView="1" xWindow="73" yWindow="13" windowWidth="1440" windowHeight="759" activeSheetId="1"/>
    <customWorkbookView name="財政局財政課 - 個人用ビュー" guid="{8EA625F0-5D2E-4E9B-8B85-5A4134DD8279}" mergeInterval="0" personalView="1" xWindow="-1" yWindow="-1" windowWidth="960" windowHeight="1032" activeSheetId="1"/>
    <customWorkbookView name="ちゃんくま - 個人用ビュー" guid="{D4A96488-6408-401A-B242-47247BD68402}" mergeInterval="0" personalView="1" maximized="1" xWindow="-8" yWindow="-8" windowWidth="1936" windowHeight="1056" activeSheetId="6"/>
    <customWorkbookView name="小沼 - 個人用ビュー" guid="{4BD327CA-D2D9-47BB-8D43-E6A2085736FF}" mergeInterval="0" personalView="1" maximized="1" xWindow="-8" yWindow="-8" windowWidth="1936" windowHeight="1056" activeSheetId="6" showComments="commIndAndComment"/>
    <customWorkbookView name="下平 峻介 - 個人用ビュー" guid="{0A60D169-EA4D-42F0-A2F3-528073C1F4D5}" mergeInterval="0" personalView="1" maximized="1" xWindow="-8" yWindow="-8" windowWidth="1936" windowHeight="1056" activeSheetId="1"/>
    <customWorkbookView name="Administrator - 個人用ビュー" guid="{F61D973C-B322-4E3F-91AB-97FEEA952E82}" mergeInterval="0" personalView="1" maximized="1" xWindow="-8" yWindow="-8" windowWidth="1382" windowHeight="744" activeSheetId="1"/>
    <customWorkbookView name="矢澤 慶太 - 個人用ビュー" guid="{7F5C8E7A-36EF-49B6-8AD1-0AE683E12EE0}" mergeInterval="0" personalView="1" windowWidth="960" windowHeight="1080" activeSheetId="1"/>
    <customWorkbookView name="込宮 麻衣子 - 個人用ビュー" guid="{AC5D4131-12C8-4117-9087-BAF7435F9B53}" mergeInterval="0" personalView="1" xWindow="9" yWindow="14" windowWidth="1168" windowHeight="1040" activeSheetId="1"/>
    <customWorkbookView name="須崎 明 - 個人用ビュー" guid="{2DE5E7C6-AE47-4EE6-8A44-2588C73E3397}" mergeInterval="0" personalView="1" maximized="1" xWindow="-1928" yWindow="-8" windowWidth="1936" windowHeight="1056" activeSheetId="6"/>
    <customWorkbookView name="中島 泰子 - 個人用ビュー" guid="{98E8C3D6-8FBF-4D5C-8624-4C53BC7003C2}" mergeInterval="0" personalView="1" maximized="1" xWindow="-8" yWindow="-8" windowWidth="1936" windowHeight="1056" activeSheetId="6"/>
  </customWorkbookViews>
</workbook>
</file>

<file path=xl/calcChain.xml><?xml version="1.0" encoding="utf-8"?>
<calcChain xmlns="http://schemas.openxmlformats.org/spreadsheetml/2006/main">
  <c r="E28" i="1" l="1"/>
  <c r="H53" i="1"/>
  <c r="F53" i="1"/>
  <c r="E5" i="4"/>
  <c r="I5" i="4"/>
  <c r="J5" i="4"/>
  <c r="E6" i="4"/>
  <c r="J6" i="4"/>
  <c r="H7" i="4"/>
  <c r="J7" i="4" s="1"/>
  <c r="I7" i="4"/>
  <c r="H8" i="4"/>
  <c r="J8" i="4" s="1"/>
  <c r="I8" i="4"/>
  <c r="J9" i="4"/>
  <c r="E10" i="4"/>
  <c r="I10" i="4"/>
  <c r="J10" i="4" s="1"/>
  <c r="E11" i="4"/>
  <c r="J11" i="4"/>
  <c r="J12" i="4"/>
  <c r="J13" i="4"/>
  <c r="E14" i="4"/>
  <c r="J14" i="4"/>
  <c r="E15" i="4"/>
  <c r="J15" i="4"/>
  <c r="E16" i="4"/>
  <c r="I16" i="4"/>
  <c r="J16" i="4"/>
  <c r="H17" i="4"/>
  <c r="E17" i="4" s="1"/>
  <c r="I17" i="4"/>
  <c r="J17" i="4"/>
  <c r="E18" i="4"/>
  <c r="J18" i="4"/>
  <c r="E19" i="4"/>
  <c r="J19" i="4"/>
  <c r="E20" i="4"/>
  <c r="J20" i="4"/>
  <c r="E21" i="4"/>
  <c r="I21" i="4"/>
  <c r="J21" i="4" s="1"/>
  <c r="H22" i="4"/>
  <c r="J22" i="4" s="1"/>
  <c r="I22" i="4"/>
  <c r="E23" i="4"/>
  <c r="H23" i="4"/>
  <c r="J23" i="4"/>
  <c r="E24" i="4"/>
  <c r="I24" i="4"/>
  <c r="J24" i="4" s="1"/>
  <c r="E25" i="4"/>
  <c r="J25" i="4"/>
  <c r="E26" i="4"/>
  <c r="I26" i="4"/>
  <c r="J26" i="4"/>
  <c r="H27" i="4"/>
  <c r="E27" i="4" s="1"/>
  <c r="E28" i="4"/>
  <c r="H28" i="4"/>
  <c r="J28" i="4"/>
  <c r="H29" i="4"/>
  <c r="J29" i="4" s="1"/>
  <c r="I29" i="4"/>
  <c r="E30" i="4"/>
  <c r="I30" i="4"/>
  <c r="J30" i="4" s="1"/>
  <c r="E31" i="4"/>
  <c r="I31" i="4"/>
  <c r="J31" i="4"/>
  <c r="E32" i="4"/>
  <c r="J32" i="4"/>
  <c r="E33" i="4"/>
  <c r="J33" i="4"/>
  <c r="E34" i="4"/>
  <c r="J34" i="4"/>
  <c r="J35" i="4"/>
  <c r="E36" i="4"/>
  <c r="I36" i="4"/>
  <c r="J36" i="4"/>
  <c r="E37" i="4"/>
  <c r="J37" i="4"/>
  <c r="H38" i="4"/>
  <c r="E38" i="4" s="1"/>
  <c r="I38" i="4"/>
  <c r="J38" i="4"/>
  <c r="E39" i="4"/>
  <c r="J39" i="4"/>
  <c r="I40" i="4"/>
  <c r="J40" i="4"/>
  <c r="E41" i="4"/>
  <c r="J41" i="4"/>
  <c r="E42" i="4"/>
  <c r="J42" i="4"/>
  <c r="E43" i="4"/>
  <c r="J43" i="4"/>
  <c r="E44" i="4"/>
  <c r="J44" i="4"/>
  <c r="E45" i="4"/>
  <c r="I45" i="4"/>
  <c r="J45" i="4" s="1"/>
  <c r="E46" i="4"/>
  <c r="J46" i="4"/>
  <c r="E47" i="4"/>
  <c r="H47" i="4"/>
  <c r="J47" i="4"/>
  <c r="E48" i="4"/>
  <c r="J48" i="4"/>
  <c r="J49" i="4"/>
  <c r="E50" i="4"/>
  <c r="J50" i="4"/>
  <c r="E51" i="4"/>
  <c r="I51" i="4"/>
  <c r="J51" i="4"/>
  <c r="E52" i="4"/>
  <c r="J52" i="4"/>
  <c r="E53" i="4"/>
  <c r="I53" i="4"/>
  <c r="J53" i="4" s="1"/>
  <c r="E54" i="4"/>
  <c r="J54" i="4"/>
  <c r="E55" i="4"/>
  <c r="J55" i="4"/>
  <c r="E56" i="4"/>
  <c r="I56" i="4"/>
  <c r="J56" i="4"/>
  <c r="E57" i="4"/>
  <c r="I57" i="4"/>
  <c r="J57" i="4" s="1"/>
  <c r="E58" i="4"/>
  <c r="J58" i="4"/>
  <c r="I59" i="4"/>
  <c r="J59" i="4" s="1"/>
  <c r="E60" i="4"/>
  <c r="H60" i="4"/>
  <c r="J60" i="4"/>
  <c r="E61" i="4"/>
  <c r="J61" i="4"/>
  <c r="E62" i="4"/>
  <c r="J62" i="4"/>
  <c r="J63" i="4"/>
  <c r="E64" i="4"/>
  <c r="J64" i="4"/>
  <c r="E5" i="3"/>
  <c r="J5" i="3"/>
  <c r="E6" i="3"/>
  <c r="J6" i="3"/>
  <c r="E7" i="3"/>
  <c r="I7" i="3"/>
  <c r="J7" i="3"/>
  <c r="E8" i="3"/>
  <c r="J8" i="3"/>
  <c r="J9" i="3"/>
  <c r="E10" i="3"/>
  <c r="I10" i="3"/>
  <c r="J10" i="3"/>
  <c r="E11" i="3"/>
  <c r="I11" i="3"/>
  <c r="J11" i="3" s="1"/>
  <c r="I12" i="3"/>
  <c r="J12" i="3" s="1"/>
  <c r="J13" i="3"/>
  <c r="E14" i="3"/>
  <c r="J14" i="3"/>
  <c r="E15" i="3"/>
  <c r="J15" i="3"/>
  <c r="E16" i="3"/>
  <c r="I16" i="3"/>
  <c r="J16" i="3" s="1"/>
  <c r="E17" i="3"/>
  <c r="H17" i="3"/>
  <c r="I17" i="3"/>
  <c r="J17" i="3" s="1"/>
  <c r="E18" i="3"/>
  <c r="H18" i="3"/>
  <c r="I18" i="3"/>
  <c r="J18" i="3" s="1"/>
  <c r="E19" i="3"/>
  <c r="J19" i="3"/>
  <c r="E20" i="3"/>
  <c r="J20" i="3"/>
  <c r="E21" i="3"/>
  <c r="J21" i="3"/>
  <c r="E22" i="3"/>
  <c r="J22" i="3"/>
  <c r="E23" i="3"/>
  <c r="J23" i="3"/>
  <c r="E24" i="3"/>
  <c r="H24" i="3"/>
  <c r="I24" i="3"/>
  <c r="J24" i="3" s="1"/>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s="1"/>
  <c r="I40" i="3"/>
  <c r="J40" i="3" s="1"/>
  <c r="E41" i="3"/>
  <c r="J41" i="3"/>
  <c r="E42" i="3"/>
  <c r="J42" i="3"/>
  <c r="E43" i="3"/>
  <c r="J43" i="3"/>
  <c r="E44" i="3"/>
  <c r="I44" i="3"/>
  <c r="J44" i="3"/>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s="1"/>
  <c r="E61" i="3"/>
  <c r="J61" i="3"/>
  <c r="E62" i="3"/>
  <c r="J62" i="3"/>
  <c r="I63" i="3"/>
  <c r="J63" i="3" s="1"/>
  <c r="E64" i="3"/>
  <c r="J64" i="3"/>
  <c r="E5" i="2"/>
  <c r="J5" i="2"/>
  <c r="E6" i="2"/>
  <c r="J6" i="2"/>
  <c r="E7" i="2"/>
  <c r="H7" i="2"/>
  <c r="J7" i="2" s="1"/>
  <c r="I7" i="2"/>
  <c r="E8" i="2"/>
  <c r="J8" i="2"/>
  <c r="J9" i="2"/>
  <c r="E10" i="2"/>
  <c r="I10" i="2"/>
  <c r="J10" i="2" s="1"/>
  <c r="E11" i="2"/>
  <c r="H11" i="2"/>
  <c r="J11" i="2" s="1"/>
  <c r="I11" i="2"/>
  <c r="J12" i="2"/>
  <c r="J13" i="2"/>
  <c r="J14" i="2"/>
  <c r="E15" i="2"/>
  <c r="J15" i="2"/>
  <c r="E16" i="2"/>
  <c r="I16" i="2"/>
  <c r="J16" i="2" s="1"/>
  <c r="E17" i="2"/>
  <c r="H17" i="2"/>
  <c r="I17" i="2"/>
  <c r="J17" i="2" s="1"/>
  <c r="E18" i="2"/>
  <c r="H18" i="2"/>
  <c r="I18" i="2"/>
  <c r="J18" i="2" s="1"/>
  <c r="E19" i="2"/>
  <c r="J19" i="2"/>
  <c r="E20" i="2"/>
  <c r="J20" i="2"/>
  <c r="E21" i="2"/>
  <c r="J21" i="2"/>
  <c r="E22" i="2"/>
  <c r="J22" i="2"/>
  <c r="E23" i="2"/>
  <c r="J23" i="2"/>
  <c r="E24" i="2"/>
  <c r="H24" i="2"/>
  <c r="J24" i="2" s="1"/>
  <c r="I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s="1"/>
  <c r="E39" i="2"/>
  <c r="J39" i="2"/>
  <c r="I40" i="2"/>
  <c r="J40" i="2" s="1"/>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s="1"/>
  <c r="E61" i="2"/>
  <c r="J61" i="2"/>
  <c r="E62" i="2"/>
  <c r="J62" i="2"/>
  <c r="H63" i="2"/>
  <c r="I63" i="2"/>
  <c r="J63" i="2"/>
  <c r="E64" i="2"/>
  <c r="J64" i="2"/>
  <c r="E6" i="1"/>
  <c r="E7" i="1"/>
  <c r="E8" i="1"/>
  <c r="E9" i="1"/>
  <c r="E10" i="1"/>
  <c r="E11" i="1"/>
  <c r="E12" i="1"/>
  <c r="E13" i="1"/>
  <c r="E14" i="1"/>
  <c r="E15" i="1"/>
  <c r="E16" i="1"/>
  <c r="E17" i="1"/>
  <c r="E18" i="1"/>
  <c r="E19" i="1"/>
  <c r="E20" i="1"/>
  <c r="E21" i="1"/>
  <c r="E22" i="1"/>
  <c r="E23" i="1"/>
  <c r="E24" i="1"/>
  <c r="E25" i="1"/>
  <c r="E26" i="1"/>
  <c r="E27" i="1"/>
  <c r="E29" i="1"/>
  <c r="E30" i="1"/>
  <c r="E31" i="1"/>
  <c r="E32" i="1"/>
  <c r="E33" i="1"/>
  <c r="E34" i="1"/>
  <c r="E35" i="1"/>
  <c r="E36" i="1"/>
  <c r="E37" i="1"/>
  <c r="E38" i="1"/>
  <c r="E39" i="1"/>
  <c r="E40" i="1"/>
  <c r="E41" i="1"/>
  <c r="E42" i="1"/>
  <c r="E43" i="1"/>
  <c r="E44" i="1"/>
  <c r="E45" i="1"/>
  <c r="E46" i="1"/>
  <c r="E47" i="1"/>
  <c r="E48" i="1"/>
  <c r="E49" i="1"/>
  <c r="E50" i="1"/>
  <c r="E51" i="1"/>
  <c r="E52" i="1"/>
  <c r="E54" i="1"/>
  <c r="E55" i="1"/>
  <c r="E56" i="1"/>
  <c r="E57" i="1"/>
  <c r="E58" i="1"/>
  <c r="E59" i="1"/>
  <c r="E60" i="1"/>
  <c r="E29" i="4" l="1"/>
  <c r="J27" i="4"/>
  <c r="E22" i="4"/>
  <c r="E8" i="4"/>
  <c r="E7" i="4"/>
  <c r="E53" i="1"/>
  <c r="J18" i="1" l="1"/>
  <c r="J12" i="1"/>
  <c r="J20" i="1"/>
  <c r="J56" i="1"/>
  <c r="J6" i="1"/>
  <c r="J44" i="1"/>
  <c r="J59" i="1"/>
  <c r="J8" i="1"/>
  <c r="J31" i="1"/>
  <c r="J37" i="1"/>
  <c r="J43" i="1"/>
  <c r="J47" i="1"/>
  <c r="J60" i="1"/>
  <c r="J54" i="1"/>
  <c r="J38" i="1"/>
  <c r="J30" i="1"/>
  <c r="J22" i="1"/>
  <c r="J14" i="1"/>
  <c r="J7" i="1"/>
  <c r="J13" i="1"/>
  <c r="J19" i="1"/>
  <c r="J23" i="1"/>
  <c r="J52" i="1"/>
  <c r="J57" i="1"/>
  <c r="J33" i="1"/>
  <c r="J17" i="1"/>
  <c r="J28" i="1"/>
  <c r="J42" i="1"/>
  <c r="J16" i="1"/>
  <c r="J53" i="1"/>
  <c r="J48" i="1"/>
  <c r="J51" i="1"/>
  <c r="J39" i="1"/>
  <c r="J49" i="1"/>
  <c r="J34" i="1"/>
  <c r="J26" i="1"/>
  <c r="J10" i="1"/>
  <c r="J27" i="1"/>
  <c r="J9" i="1"/>
  <c r="J46" i="1"/>
  <c r="J24" i="1"/>
  <c r="J32" i="1"/>
  <c r="J29" i="1"/>
  <c r="J35" i="1"/>
  <c r="J45" i="1"/>
  <c r="J40" i="1"/>
  <c r="J58" i="1"/>
  <c r="J50" i="1"/>
  <c r="J11" i="1"/>
  <c r="J15" i="1"/>
  <c r="J21" i="1"/>
  <c r="J55" i="1"/>
  <c r="J41" i="1"/>
  <c r="J25" i="1"/>
  <c r="J36" i="1"/>
</calcChain>
</file>

<file path=xl/comments1.xml><?xml version="1.0" encoding="utf-8"?>
<comments xmlns="http://schemas.openxmlformats.org/spreadsheetml/2006/main">
  <authors>
    <author xml:space="preserve"> </author>
    <author>財政局財政課</author>
    <author>itouyuu</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25年度に減額したり、免除した際に適用した理由の主なものを記載しています。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text>
        <r>
          <rPr>
            <b/>
            <sz val="9"/>
            <color indexed="81"/>
            <rFont val="MS P ゴシック"/>
            <family val="3"/>
            <charset val="128"/>
          </rPr>
          <t>料金改正
H23年10月1日～</t>
        </r>
      </text>
    </comment>
  </commentList>
</comments>
</file>

<file path=xl/comments2.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24年度に減額したり、免除した際に適用した理由の主なものを記載しています。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3.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23年度に減額したり、免除した際に適用した理由の主なものを記載しています。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sharedStrings.xml><?xml version="1.0" encoding="utf-8"?>
<sst xmlns="http://schemas.openxmlformats.org/spreadsheetml/2006/main" count="1519" uniqueCount="426">
  <si>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</si>
  <si>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</si>
  <si>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</si>
  <si>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</si>
  <si>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</si>
  <si>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</si>
  <si>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</si>
  <si>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</si>
  <si>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</si>
  <si>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</si>
  <si>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</si>
  <si>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</si>
  <si>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</si>
  <si>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</si>
  <si>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</si>
  <si>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</si>
  <si>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</si>
  <si>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</si>
  <si>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</si>
  <si>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</si>
  <si>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</si>
  <si>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</si>
  <si>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</si>
  <si>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</si>
  <si>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</si>
  <si>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</si>
  <si>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</si>
  <si>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</si>
  <si>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</si>
  <si>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</si>
  <si>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</si>
  <si>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</si>
  <si>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</si>
  <si>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</si>
  <si>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</si>
  <si>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</si>
  <si>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</si>
  <si>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</si>
  <si>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</si>
  <si>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</si>
  <si>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</si>
  <si>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</si>
  <si>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</si>
  <si>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</si>
  <si>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</si>
  <si>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</si>
  <si>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</si>
  <si>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</si>
  <si>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</si>
  <si>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</si>
  <si>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</si>
  <si>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</si>
  <si>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</si>
  <si>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</si>
  <si>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</si>
  <si>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</si>
  <si>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</si>
  <si>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</si>
  <si>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</si>
  <si>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</si>
  <si>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</si>
  <si>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</si>
  <si>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</si>
  <si>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</si>
  <si>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</si>
  <si>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</si>
  <si>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</si>
  <si>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</si>
  <si>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</si>
  <si>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</si>
  <si>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</si>
  <si>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</si>
  <si>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</si>
  <si>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</si>
  <si>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</si>
  <si>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</si>
  <si>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</si>
  <si>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</si>
  <si>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</si>
  <si>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</si>
  <si>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</si>
  <si>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</si>
  <si>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</si>
  <si>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</si>
  <si>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</si>
  <si>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</si>
  <si>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</si>
  <si>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</si>
  <si>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</si>
  <si>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</si>
  <si>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</si>
  <si>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</si>
  <si>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</si>
  <si>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</si>
  <si>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</si>
  <si>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</si>
  <si>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</si>
  <si>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</si>
  <si>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</si>
  <si>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</si>
  <si>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</si>
  <si>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</si>
  <si>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</si>
  <si>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</si>
  <si>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</si>
  <si>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</si>
  <si>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</si>
  <si>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</si>
  <si>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</si>
  <si>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</si>
  <si>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</si>
  <si>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</si>
  <si>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</si>
  <si>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</si>
  <si>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</si>
  <si>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</si>
  <si>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</si>
  <si>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</si>
  <si>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</si>
  <si>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</si>
  <si>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</si>
  <si>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</si>
  <si>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</si>
  <si>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</si>
  <si>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</si>
  <si>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</si>
  <si>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</si>
  <si>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</si>
  <si>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</si>
  <si>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</si>
  <si>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</si>
  <si>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</si>
  <si>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</si>
  <si>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</si>
  <si>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</si>
  <si>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</si>
  <si>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</si>
  <si>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</si>
  <si>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</si>
  <si>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</si>
  <si>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</si>
  <si>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</si>
  <si>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</si>
  <si>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</si>
  <si>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</si>
  <si>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</si>
  <si>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</si>
  <si>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</si>
  <si>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</si>
  <si>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</si>
  <si>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</si>
  <si>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</si>
  <si>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</si>
  <si>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</si>
  <si>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</si>
  <si>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</si>
  <si>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</si>
  <si>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</si>
  <si>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</si>
  <si>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</si>
  <si>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</si>
  <si>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</si>
  <si>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</si>
  <si>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</si>
  <si>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</si>
  <si>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</si>
  <si>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</si>
  <si>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</si>
  <si>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</si>
  <si>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</si>
  <si>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</si>
  <si>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</si>
  <si>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</si>
  <si>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</si>
  <si>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</si>
  <si>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</si>
  <si>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</si>
  <si>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減額・免除、または優遇した額</t>
    <rPh sb="0" eb="2">
      <t>ゲンガク</t>
    </rPh>
    <rPh sb="3" eb="5">
      <t>メンジョ</t>
    </rPh>
    <rPh sb="9" eb="11">
      <t>ユウグウ</t>
    </rPh>
    <rPh sb="13" eb="14">
      <t>ガク</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</si>
  <si>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</si>
  <si>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</si>
  <si>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</si>
  <si>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</si>
  <si>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</si>
  <si>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</si>
  <si>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</si>
  <si>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</si>
  <si>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</si>
  <si>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</si>
  <si>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</si>
  <si>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</si>
  <si>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</si>
  <si>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</si>
  <si>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</si>
  <si>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</si>
  <si>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</si>
  <si>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</si>
  <si>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</si>
  <si>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</si>
  <si>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</si>
  <si>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</si>
  <si>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</si>
  <si>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</si>
  <si>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</si>
  <si>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</si>
  <si>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</si>
  <si>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</si>
  <si>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</si>
  <si>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</si>
  <si>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</si>
  <si>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</si>
  <si>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</si>
  <si>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</si>
  <si>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</si>
  <si>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</si>
  <si>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</si>
  <si>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</si>
  <si>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</si>
  <si>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</si>
  <si>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</si>
  <si>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</si>
  <si>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</si>
  <si>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</si>
  <si>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</si>
  <si>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</si>
  <si>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</si>
  <si>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</si>
  <si>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</si>
  <si>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</si>
  <si>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⑩主な減免事由</t>
    <rPh sb="1" eb="2">
      <t>オモ</t>
    </rPh>
    <rPh sb="3" eb="5">
      <t>ゲンメン</t>
    </rPh>
    <rPh sb="5" eb="7">
      <t>ジユウ</t>
    </rPh>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</si>
  <si>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</si>
  <si>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</si>
  <si>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</si>
  <si>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</si>
  <si>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</si>
  <si>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</si>
  <si>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</si>
  <si>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</si>
  <si>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</si>
  <si>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</si>
  <si>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</si>
  <si>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</si>
  <si>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</si>
  <si>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</si>
  <si>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</si>
  <si>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</si>
  <si>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</si>
  <si>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</si>
  <si>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</si>
  <si>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</si>
  <si>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</si>
  <si>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</si>
  <si>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</si>
  <si>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</si>
  <si>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</si>
  <si>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</si>
  <si>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</si>
  <si>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</si>
  <si>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</si>
  <si>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</si>
  <si>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</si>
  <si>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</si>
  <si>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</si>
  <si>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</si>
  <si>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</si>
  <si>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</si>
  <si>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</si>
  <si>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</si>
  <si>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</si>
  <si>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</si>
  <si>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</si>
  <si>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</si>
  <si>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</si>
  <si>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</si>
  <si>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</si>
  <si>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</si>
  <si>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</si>
  <si>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</si>
  <si>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</si>
  <si>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</si>
  <si>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</si>
  <si>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</si>
  <si>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</si>
  <si>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</si>
  <si>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</si>
  <si>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</si>
  <si>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</si>
  <si>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</si>
  <si>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</si>
  <si>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</si>
  <si>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</si>
  <si>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</si>
  <si>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</si>
  <si>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</si>
  <si>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</si>
  <si>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</si>
  <si>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</si>
  <si>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</si>
  <si>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</si>
  <si>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</si>
  <si>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</si>
  <si>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</si>
  <si>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</si>
  <si>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</si>
  <si>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</si>
  <si>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</si>
  <si>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</si>
  <si>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</si>
  <si>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</si>
  <si>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</si>
  <si>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</si>
  <si>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</si>
  <si>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</si>
  <si>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</si>
  <si>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</si>
  <si>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</si>
  <si>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</si>
  <si>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</si>
  <si>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</si>
  <si>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</si>
  <si>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大黒運動広場</t>
    <rPh sb="0" eb="2">
      <t>ダイコク</t>
    </rPh>
    <rPh sb="2" eb="4">
      <t>ウンドウ</t>
    </rPh>
    <rPh sb="4" eb="6">
      <t>ヒロバ</t>
    </rPh>
    <phoneticPr fontId="4"/>
  </si>
  <si>
    <t>横浜あゆみ荘（障害者研修保養センター）　※</t>
    <phoneticPr fontId="4"/>
  </si>
  <si>
    <t>金井公園野球場　※※※</t>
    <rPh sb="0" eb="2">
      <t>カナイ</t>
    </rPh>
    <rPh sb="2" eb="4">
      <t>コウエン</t>
    </rPh>
    <rPh sb="4" eb="7">
      <t>ヤキュウジョウ</t>
    </rPh>
    <phoneticPr fontId="4"/>
  </si>
  <si>
    <t>横浜市高齢者保養研修施設ふれーゆ
（プール、大浴場）　</t>
    <rPh sb="0" eb="3">
      <t>ヨコハマシ</t>
    </rPh>
    <rPh sb="3" eb="6">
      <t>コウレイシャ</t>
    </rPh>
    <rPh sb="6" eb="8">
      <t>ホヨウ</t>
    </rPh>
    <rPh sb="8" eb="10">
      <t>ケンシュウ</t>
    </rPh>
    <rPh sb="10" eb="12">
      <t>シセツ</t>
    </rPh>
    <rPh sb="22" eb="25">
      <t>ダイヨクジョウ</t>
    </rPh>
    <phoneticPr fontId="4"/>
  </si>
  <si>
    <t>横浜市長浜ホール（ホール・楽屋、旧細菌検査室等）※、※※</t>
    <phoneticPr fontId="4"/>
  </si>
  <si>
    <t>清水ケ丘公園運動広場　※※※</t>
    <rPh sb="0" eb="2">
      <t>シミズ</t>
    </rPh>
    <rPh sb="3" eb="4">
      <t>オカ</t>
    </rPh>
    <rPh sb="4" eb="6">
      <t>コウエン</t>
    </rPh>
    <rPh sb="6" eb="10">
      <t>ウンドウヒロバ</t>
    </rPh>
    <phoneticPr fontId="4"/>
  </si>
  <si>
    <t>松見集会所　※</t>
    <phoneticPr fontId="4"/>
  </si>
  <si>
    <t>－</t>
  </si>
  <si>
    <t>スポーツ、レクリエーション等の振興を図り、市民の心身の健全な発達に寄与するため</t>
  </si>
  <si>
    <t>設置当初はごみ焼却工場の建設に伴う近隣住民への地元還元のため。現在はスポーツ・レクリエーション等の振興を図り、市民の心身の健全な発達に寄与するため。</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</si>
  <si>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</si>
  <si>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</si>
  <si>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</si>
  <si>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</si>
  <si>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</si>
  <si>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</si>
  <si>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</si>
  <si>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</si>
  <si>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</si>
  <si>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</si>
  <si>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</si>
  <si>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</si>
  <si>
    <t>屋外における運動その他レクリエーションの提供</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</si>
  <si>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</si>
  <si>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</si>
  <si>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</si>
  <si>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・本市が主催する行事に利用する場合（全額減免）
・市内の高校、専門学校が正規の教育課程で利用する場合（５割減免）</t>
  </si>
  <si>
    <t>・社会福祉法第２条に規定する社会福祉事業のためにスポーツ、レクリエーション、文化活動等の行事を行う場合（５割減免）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</si>
  <si>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</si>
  <si>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</si>
  <si>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</si>
  <si>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身体障害者手帳・愛の手帳（療育手帳）・精神保健福祉手帳の交付を受けている者のうち、子供（3歳～中学生）は５割減免、大人（高校生～59歳）はプールのみ・大浴場のみの利用でそれぞれ500円に減免、高齢者（60歳以上）はプールのみ・大浴場のみの利用でそれぞれ200円に減免。</t>
  </si>
  <si>
    <t>　ホール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</si>
  <si>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</si>
  <si>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＜運動広場＞
1,300円/1時間
＜テニスコート＞
1,100円/1時間</t>
    <rPh sb="1" eb="3">
      <t>ウンドウ</t>
    </rPh>
    <rPh sb="3" eb="5">
      <t>ヒロバ</t>
    </rPh>
    <rPh sb="12" eb="13">
      <t>エン</t>
    </rPh>
    <rPh sb="15" eb="17">
      <t>ジカン</t>
    </rPh>
    <phoneticPr fontId="4"/>
  </si>
  <si>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</si>
  <si>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施設使用料　無料
実費負担
　光熱水費　260円/1泊
　シーツクリーニング代　290円/1枚
　薪　360円/1束</t>
  </si>
  <si>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</si>
  <si>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高齢者に保養、研修等の場や機会を提供することにより、健康の増進及び社会参加の促進、世代間交流を図り、高齢者福祉の向上に寄与するため</t>
    <phoneticPr fontId="4"/>
  </si>
  <si>
    <t>障害者、その家族その他の者が研修、保養、レクリエーション等を通じ、相互の親睦を深めることにより、障害者の社会参加の促進及び福祉の増進を図るため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</si>
  <si>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スポーツ、文化活動、レクリエーション等を通じて、障害者の社会参加及び福祉の増進並びに障害者、その介護人その他の市民相互の交流を図るため</t>
    <phoneticPr fontId="4"/>
  </si>
  <si>
    <t>社会福祉を目的とする市民の相互交流及び活動の場を提供すること等により、市民の福祉意識の高揚と主体的な福祉活動の推進を図り、もって市民の福祉の向上に寄与するため</t>
    <phoneticPr fontId="4"/>
  </si>
  <si>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phoneticPr fontId="4"/>
  </si>
  <si>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phoneticPr fontId="4"/>
  </si>
  <si>
    <t>国民の宗教的感情に適合し、且つ公衆衛生その他公共の福祉の見地から、墓地埋葬等に関する法律に基づき支障なく火葬を実施するため</t>
    <phoneticPr fontId="4"/>
  </si>
  <si>
    <t>遺族感情に配慮して通夜及び告別式を開催できる適切かつ厳粛な場を提供することを通じ、市民サービスの向上に資するため</t>
    <phoneticPr fontId="4"/>
  </si>
  <si>
    <t>市民の墓地需要に対応するとともに、市民の宗教的な感情に適合し、かつ公衆衛生その他公共の見地から、適切な墓地の管理運営を行うため</t>
    <phoneticPr fontId="4"/>
  </si>
  <si>
    <t>横浜市民防災センター（展示室等）</t>
  </si>
  <si>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phoneticPr fontId="4"/>
  </si>
  <si>
    <t>磯子区民文化センター 杉田劇場
（ホール、ギャラリー、練習室等）　※</t>
    <rPh sb="11" eb="13">
      <t>スギタ</t>
    </rPh>
    <rPh sb="13" eb="15">
      <t>ゲキジョウ</t>
    </rPh>
    <rPh sb="27" eb="30">
      <t>レンシュウシツ</t>
    </rPh>
    <rPh sb="30" eb="31">
      <t>トウ</t>
    </rPh>
    <phoneticPr fontId="4"/>
  </si>
  <si>
    <t>地域における文化活動の拠点となるとともに、本施設にゆかりの深い野口博士の業績を発信していくため</t>
    <phoneticPr fontId="4"/>
  </si>
  <si>
    <t>多目的室：11,800円/１日
リハーサル室：2,600円/１日</t>
    <rPh sb="0" eb="3">
      <t>タモクテキ</t>
    </rPh>
    <rPh sb="3" eb="4">
      <t>シツ</t>
    </rPh>
    <phoneticPr fontId="5"/>
  </si>
  <si>
    <t>横浜市男女共同参画センター条例 第10条（利用料金の減免）
横浜市男女共同参画センター条例施行規則 第8条（利用料金の減免）
男女共同参画センター運営管理要領 第13条（利用料金の減免）</t>
  </si>
  <si>
    <t>男女共同参画の推進に関する施策の実施、並びに
市民及び事業者による男女共同参画の推進に関する取組の支援</t>
    <phoneticPr fontId="4"/>
  </si>
  <si>
    <t>市内の高等教育機関に在籍する留学生・研究者に対して良質廉価な宿舎を提供すること。また、地域における国際交流を促進し、国際文化都市の形成に資すること。</t>
    <phoneticPr fontId="4"/>
  </si>
  <si>
    <t>市民の自主的な活動（生涯学習活動、研修活動、ボランティア活動など）のための交流の場、情報交換や相談する場、社会教育指導者育成の場として設置。</t>
  </si>
  <si>
    <t>研修室1,200円/4時間
アートルーム1,600円/4時間</t>
    <rPh sb="0" eb="3">
      <t>ケンシュウシツ</t>
    </rPh>
    <rPh sb="8" eb="9">
      <t>エン</t>
    </rPh>
    <rPh sb="11" eb="13">
      <t>ジカン</t>
    </rPh>
    <rPh sb="25" eb="26">
      <t>エン</t>
    </rPh>
    <rPh sb="28" eb="30">
      <t>ジカン</t>
    </rPh>
    <phoneticPr fontId="5"/>
  </si>
  <si>
    <t>大人：400円
こども：100円</t>
    <rPh sb="0" eb="2">
      <t>オトナ</t>
    </rPh>
    <rPh sb="6" eb="7">
      <t>エン</t>
    </rPh>
    <rPh sb="15" eb="16">
      <t>エン</t>
    </rPh>
    <phoneticPr fontId="4"/>
  </si>
  <si>
    <t>中会議室1,020円/3時間
小会議室480円/3時間
料理室460円/2時間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</si>
  <si>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横浜みなとみらいホール　※※
（ホール、練習室等）</t>
    <rPh sb="0" eb="2">
      <t>ヨコハマ</t>
    </rPh>
    <rPh sb="20" eb="23">
      <t>レンシュウシツ</t>
    </rPh>
    <rPh sb="23" eb="24">
      <t>トウ</t>
    </rPh>
    <phoneticPr fontId="4"/>
  </si>
  <si>
    <t>主な施設の現状のコストと使用料の状況（令和２年度決算）</t>
    <rPh sb="0" eb="1">
      <t>オモ</t>
    </rPh>
    <rPh sb="2" eb="4">
      <t>シセツ</t>
    </rPh>
    <rPh sb="5" eb="7">
      <t>ゲンジョウ</t>
    </rPh>
    <rPh sb="12" eb="15">
      <t>シヨウリョウ</t>
    </rPh>
    <rPh sb="16" eb="18">
      <t>ジョウキョウ</t>
    </rPh>
    <rPh sb="19" eb="21">
      <t>レイワ</t>
    </rPh>
    <rPh sb="22" eb="24">
      <t>ネンド</t>
    </rPh>
    <rPh sb="24" eb="26">
      <t>ケッサン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</si>
  <si>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</si>
  <si>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</si>
  <si>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</si>
  <si>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本郷ふじやま公園弓道場</t>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</si>
  <si>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</si>
  <si>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</si>
  <si>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32" eb="34">
      <t>コウエン</t>
    </rPh>
    <rPh sb="113" eb="114">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</si>
  <si>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phoneticPr fontId="4"/>
  </si>
  <si>
    <t>宿泊（横浜市民）：3,940円～9,670円/1泊
ホール：2,500円/１時間
火の間：5,000円/１時間
ミーティングルーム（大）：1,600円/１時間</t>
    <rPh sb="0" eb="2">
      <t>シュクハク</t>
    </rPh>
    <rPh sb="3" eb="7">
      <t>ヨコハマシミン</t>
    </rPh>
    <rPh sb="14" eb="15">
      <t>エン</t>
    </rPh>
    <rPh sb="21" eb="22">
      <t>エン</t>
    </rPh>
    <rPh sb="24" eb="25">
      <t>ハク</t>
    </rPh>
    <rPh sb="35" eb="36">
      <t>エン</t>
    </rPh>
    <rPh sb="38" eb="40">
      <t>ジカン</t>
    </rPh>
    <rPh sb="41" eb="42">
      <t>ヒ</t>
    </rPh>
    <rPh sb="43" eb="44">
      <t>マ</t>
    </rPh>
    <rPh sb="50" eb="51">
      <t>エン</t>
    </rPh>
    <rPh sb="53" eb="55">
      <t>ジカン</t>
    </rPh>
    <rPh sb="66" eb="67">
      <t>ダイ</t>
    </rPh>
    <rPh sb="74" eb="75">
      <t>エン</t>
    </rPh>
    <rPh sb="77" eb="79">
      <t>ジカン</t>
    </rPh>
    <phoneticPr fontId="4"/>
  </si>
  <si>
    <t>横浜市旭プール（余熱利用プール）</t>
    <rPh sb="0" eb="3">
      <t>ヨコハマシ</t>
    </rPh>
    <rPh sb="3" eb="4">
      <t>アサヒ</t>
    </rPh>
    <rPh sb="8" eb="10">
      <t>ヨネツ</t>
    </rPh>
    <rPh sb="10" eb="12">
      <t>リヨウ</t>
    </rPh>
    <phoneticPr fontId="4"/>
  </si>
  <si>
    <t>横浜市上郷・森の家
（宿泊、キャンプ、ホール等）　</t>
    <rPh sb="0" eb="2">
      <t>ヨコハマ</t>
    </rPh>
    <rPh sb="2" eb="3">
      <t>シ</t>
    </rPh>
    <rPh sb="3" eb="5">
      <t>カミゴウ</t>
    </rPh>
    <rPh sb="6" eb="7">
      <t>モリ</t>
    </rPh>
    <rPh sb="8" eb="9">
      <t>イエ</t>
    </rPh>
    <rPh sb="11" eb="13">
      <t>シュクハク</t>
    </rPh>
    <rPh sb="22" eb="23">
      <t>トウ</t>
    </rPh>
    <phoneticPr fontId="4"/>
  </si>
  <si>
    <t>新鶴見小学校コミュニティハウス　※</t>
    <rPh sb="0" eb="1">
      <t>シン</t>
    </rPh>
    <rPh sb="1" eb="3">
      <t>ツルミ</t>
    </rPh>
    <rPh sb="3" eb="4">
      <t>ショウ</t>
    </rPh>
    <rPh sb="4" eb="6">
      <t>ガッコウ</t>
    </rPh>
    <phoneticPr fontId="4"/>
  </si>
  <si>
    <t>地域住民の活動の場を住民自身が運営していくことを基本とし、地域住民の生涯学習や地域活動などの身近な場として、また地域と学校との交流・連携を深めることを目的として設置</t>
    <rPh sb="59" eb="61">
      <t>ガッコウ</t>
    </rPh>
    <phoneticPr fontId="4"/>
  </si>
  <si>
    <t>＜施設使用料＞
　無料
＜実費負担＞
　光熱水費　300円/1泊（一般・市外利用者のみ）
  シーツクリーニング代　280円/1枚
　薪　450円/1束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</si>
  <si>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7,587
（公園全体に対しての金額）</t>
    <rPh sb="7" eb="9">
      <t>コウエン</t>
    </rPh>
    <rPh sb="9" eb="11">
      <t>ゼンタイ</t>
    </rPh>
    <rPh sb="12" eb="13">
      <t>タイ</t>
    </rPh>
    <rPh sb="16" eb="18">
      <t>キンガク</t>
    </rPh>
    <phoneticPr fontId="20"/>
  </si>
  <si>
    <t>2,386
（公園全体に対しての金額）</t>
    <rPh sb="7" eb="11">
      <t>コウエンゼンタイ</t>
    </rPh>
    <rPh sb="12" eb="13">
      <t>タイ</t>
    </rPh>
    <rPh sb="16" eb="18">
      <t>キンガク</t>
    </rPh>
    <phoneticPr fontId="20"/>
  </si>
  <si>
    <t>197488
（金沢、野毛山動物園含む）</t>
    <phoneticPr fontId="4"/>
  </si>
  <si>
    <t>⑪本市からの運営支援等</t>
    <rPh sb="1" eb="3">
      <t>ホンシ</t>
    </rPh>
    <rPh sb="6" eb="11">
      <t>ウンエイシエントウ</t>
    </rPh>
    <phoneticPr fontId="4"/>
  </si>
  <si>
    <t>新型コロナウイルス感染症の影響により、休館及び利用制限等を行っていた指定管理施設に対する本市からの運営支援等の金額を記載しています。</t>
    <rPh sb="44" eb="46">
      <t>ホンシ</t>
    </rPh>
    <rPh sb="49" eb="54">
      <t>ウンエイシエントウ</t>
    </rPh>
    <rPh sb="55" eb="57">
      <t>キンガク</t>
    </rPh>
    <rPh sb="58" eb="60">
      <t>キサイ</t>
    </rPh>
    <phoneticPr fontId="4"/>
  </si>
  <si>
    <t>⑪
本市からの運営支援等</t>
    <rPh sb="2" eb="4">
      <t>ホンシ</t>
    </rPh>
    <rPh sb="7" eb="11">
      <t>ウンエイ</t>
    </rPh>
    <rPh sb="11" eb="12">
      <t>トウ</t>
    </rPh>
    <phoneticPr fontId="4"/>
  </si>
  <si>
    <t>本市からの運営支援等
（千円）</t>
    <rPh sb="0" eb="2">
      <t>ホンシ</t>
    </rPh>
    <rPh sb="5" eb="10">
      <t>ウンエイシエントウ</t>
    </rPh>
    <rPh sb="12" eb="14">
      <t>センエン</t>
    </rPh>
    <phoneticPr fontId="4"/>
  </si>
  <si>
    <t>使用料、利用料金の収入金額を掲載しています。使用料等収入には、目的外使用料（本市の行政財産をその用途又は目的を妨げない限度において使用許可する場合の使用料。(例)自動販売機の設置)は原則含んでいません。</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9" eb="80">
      <t>レイ</t>
    </rPh>
    <rPh sb="81" eb="83">
      <t>ジドウ</t>
    </rPh>
    <rPh sb="83" eb="86">
      <t>ハンバイキ</t>
    </rPh>
    <rPh sb="87" eb="89">
      <t>セッチ</t>
    </rPh>
    <rPh sb="91" eb="93">
      <t>ゲンソク</t>
    </rPh>
    <rPh sb="93" eb="94">
      <t>フク</t>
    </rPh>
    <phoneticPr fontId="4"/>
  </si>
  <si>
    <t>※　 　 無料施設部分に係るコストを控除して割合を算定しています。</t>
    <phoneticPr fontId="4"/>
  </si>
  <si>
    <t>元年度まで掲載されていた「横浜文化体育館」については令和２年９月６日に改修工事に伴い閉館したため掲載していません。</t>
    <phoneticPr fontId="4"/>
  </si>
  <si>
    <t>※※ 　文化観光局の所管施設（区民文化センターを除く）は、施設運営と自主企画事業を一体的に行っています。自主企画事業費については、コスト及び収入は算定外です。ただし、その自主企画を実施・運営するにあたり、必要とされる人件費・物件費等については、コストに含んでいます。（No.13～21の施設）</t>
    <phoneticPr fontId="4"/>
  </si>
  <si>
    <t>※※※有料施設と園地等を一体的に管理しています。有料施設のコストは、公園全体の共通経費を公園全体に占める有料施設の面積の割合で按分して算定しています。（No.43・44の施設）</t>
    <phoneticPr fontId="4"/>
  </si>
  <si>
    <t>施設使用料　無料
実費負担
　光熱水費 210円/1泊
  シーツクリーニング代　270円/１枚
　薪　310円/1束</t>
    <phoneticPr fontId="4"/>
  </si>
  <si>
    <t>大研修室　10,400円/1日
研修室　3,300円/1日
会議室　2,700円～4,200円/1日　</t>
    <rPh sb="0" eb="4">
      <t>ダイケンシュウシツ</t>
    </rPh>
    <rPh sb="11" eb="12">
      <t>エン</t>
    </rPh>
    <rPh sb="14" eb="15">
      <t>ニチ</t>
    </rPh>
    <rPh sb="16" eb="19">
      <t>ケンシュウシツ</t>
    </rPh>
    <rPh sb="25" eb="26">
      <t>エン</t>
    </rPh>
    <rPh sb="28" eb="29">
      <t>ニチ</t>
    </rPh>
    <phoneticPr fontId="5"/>
  </si>
  <si>
    <t>プール（個人利用）：一般700円/2時間
　　　　　　　　　　　　中学生以下350円/2時間
トレーニング室（個人利用）：一般500円/2時間
　　　　　　　　　　　　　　　　　中学生以下250円/2時間</t>
    <rPh sb="6" eb="8">
      <t>リヨウ</t>
    </rPh>
    <rPh sb="10" eb="12">
      <t>イッパン</t>
    </rPh>
    <rPh sb="33" eb="36">
      <t>チュウガクセイ</t>
    </rPh>
    <rPh sb="36" eb="38">
      <t>イカ</t>
    </rPh>
    <rPh sb="41" eb="42">
      <t>エン</t>
    </rPh>
    <rPh sb="53" eb="54">
      <t>シツ</t>
    </rPh>
    <rPh sb="55" eb="57">
      <t>コジン</t>
    </rPh>
    <rPh sb="57" eb="59">
      <t>リヨウ</t>
    </rPh>
    <rPh sb="61" eb="63">
      <t>イッパン</t>
    </rPh>
    <rPh sb="66" eb="67">
      <t>エン</t>
    </rPh>
    <rPh sb="69" eb="71">
      <t>ジカン</t>
    </rPh>
    <rPh sb="89" eb="92">
      <t>チュウガクセイ</t>
    </rPh>
    <rPh sb="92" eb="94">
      <t>イカ</t>
    </rPh>
    <rPh sb="97" eb="98">
      <t>エン</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</si>
  <si>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</si>
  <si>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＜入場料を徴収しない場合＞
　ホール   10,000円/１日・土曜、日曜、休日
　              8,500円/１日・平日
＜入場料を徴収する場合＞
　ホール　17,000円/１日・土曜、日曜、休日
　            14,500円/１日・平日</t>
    <rPh sb="1" eb="3">
      <t>ニュウジョウ</t>
    </rPh>
    <rPh sb="3" eb="4">
      <t>リョウ</t>
    </rPh>
    <rPh sb="5" eb="7">
      <t>チョウシュウ</t>
    </rPh>
    <rPh sb="10" eb="12">
      <t>バアイ</t>
    </rPh>
    <rPh sb="27" eb="28">
      <t>エン</t>
    </rPh>
    <rPh sb="30" eb="31">
      <t>ニチ</t>
    </rPh>
    <rPh sb="32" eb="34">
      <t>ドヨウ</t>
    </rPh>
    <rPh sb="35" eb="37">
      <t>ニチヨウ</t>
    </rPh>
    <rPh sb="38" eb="40">
      <t>キュウジツ</t>
    </rPh>
    <rPh sb="61" eb="62">
      <t>エン</t>
    </rPh>
    <rPh sb="64" eb="65">
      <t>ニチ</t>
    </rPh>
    <rPh sb="66" eb="68">
      <t>ヘイジツ</t>
    </rPh>
    <rPh sb="70" eb="72">
      <t>ニュウジョウ</t>
    </rPh>
    <rPh sb="72" eb="73">
      <t>リョウ</t>
    </rPh>
    <rPh sb="74" eb="76">
      <t>チョウシュウ</t>
    </rPh>
    <rPh sb="78" eb="80">
      <t>バアイ</t>
    </rPh>
    <rPh sb="93" eb="94">
      <t>エン</t>
    </rPh>
    <rPh sb="96" eb="97">
      <t>ニチ</t>
    </rPh>
    <rPh sb="98" eb="100">
      <t>ドヨウ</t>
    </rPh>
    <rPh sb="101" eb="103">
      <t>ニチヨウ</t>
    </rPh>
    <rPh sb="104" eb="106">
      <t>キュウジツ</t>
    </rPh>
    <rPh sb="126" eb="127">
      <t>エン</t>
    </rPh>
    <rPh sb="129" eb="130">
      <t>ニチ</t>
    </rPh>
    <rPh sb="131" eb="133">
      <t>ヘイジツ</t>
    </rPh>
    <phoneticPr fontId="5"/>
  </si>
  <si>
    <t>＜入場料を徴収しない場合＞
　展示室1   10,500 円/1日
＜入場料を徴収する場合＞
　展示室1   21,000円/1日</t>
    <rPh sb="15" eb="18">
      <t>テンジシツ</t>
    </rPh>
    <rPh sb="48" eb="51">
      <t>テンジシツ</t>
    </rPh>
    <rPh sb="64" eb="65">
      <t>ニチ</t>
    </rPh>
    <phoneticPr fontId="4"/>
  </si>
  <si>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5" eb="18">
      <t>ホンブタイ</t>
    </rPh>
    <rPh sb="28" eb="29">
      <t>エン</t>
    </rPh>
    <rPh sb="30" eb="31">
      <t>ゼン</t>
    </rPh>
    <rPh sb="31" eb="32">
      <t>ニチ</t>
    </rPh>
    <rPh sb="33" eb="34">
      <t>ツチ</t>
    </rPh>
    <rPh sb="34" eb="35">
      <t>ヒカリ</t>
    </rPh>
    <rPh sb="36" eb="38">
      <t>ニチヨウ</t>
    </rPh>
    <rPh sb="39" eb="41">
      <t>キュウジツ</t>
    </rPh>
    <rPh sb="58" eb="59">
      <t>エン</t>
    </rPh>
    <rPh sb="63" eb="65">
      <t>ヘイジツ</t>
    </rPh>
    <rPh sb="67" eb="70">
      <t>ニュウジョウリョウ</t>
    </rPh>
    <rPh sb="71" eb="73">
      <t>チョウシュウ</t>
    </rPh>
    <rPh sb="75" eb="77">
      <t>バアイ</t>
    </rPh>
    <rPh sb="80" eb="83">
      <t>ホンブタイ</t>
    </rPh>
    <phoneticPr fontId="5"/>
  </si>
  <si>
    <t>＜入場料を徴収しない場合＞
　大ホール    178,000円/１日・土曜・日曜・休日
 　　　　　　    152,000円/１日・平日
＜入場料を徴収する場合＞
 　大ホール   239,000円～362,000円/１日・土曜・日曜・休日
 　　　　　　    202,000円～307,000円/１日・平日</t>
    <rPh sb="35" eb="37">
      <t>ドヨウ</t>
    </rPh>
    <rPh sb="38" eb="40">
      <t>ニチヨウ</t>
    </rPh>
    <rPh sb="41" eb="43">
      <t>キュウジツ</t>
    </rPh>
    <rPh sb="62" eb="63">
      <t>エン</t>
    </rPh>
    <rPh sb="67" eb="69">
      <t>ヘイジツ</t>
    </rPh>
    <rPh sb="108" eb="109">
      <t>エン</t>
    </rPh>
    <rPh sb="149" eb="150">
      <t>エン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</si>
  <si>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phoneticPr fontId="4"/>
  </si>
  <si>
    <t>無料又は低額な料金で、高齢者に関する各種の相談に応ずるとともに、高齢者に対して、健康の増進、教養の向上及びレクリエーションのための便宜を総合的に供与するため</t>
    <rPh sb="11" eb="14">
      <t>コウレイシャ</t>
    </rPh>
    <rPh sb="32" eb="35">
      <t>コウレイシャ</t>
    </rPh>
    <phoneticPr fontId="4"/>
  </si>
  <si>
    <t>＜施設利用料金（個人利用）＞
　障害のある方とその介護人（2名まで）：無料
　その他の方：大人500円、小中学生250円、未就学児無料
＜ボーリング個人利用（１ゲーム）＞
　障害のある方とその介護人（2名まで）：200円
　その他の方：400円</t>
    <rPh sb="5" eb="7">
      <t>リョウキン</t>
    </rPh>
    <rPh sb="8" eb="12">
      <t>コジンリヨウ</t>
    </rPh>
    <rPh sb="27" eb="28">
      <t>ニン</t>
    </rPh>
    <rPh sb="30" eb="31">
      <t>メイ</t>
    </rPh>
    <rPh sb="35" eb="37">
      <t>ムリョウ</t>
    </rPh>
    <rPh sb="45" eb="47">
      <t>オトナ</t>
    </rPh>
    <rPh sb="52" eb="56">
      <t>ショウチュウガクセイ</t>
    </rPh>
    <rPh sb="59" eb="60">
      <t>エン</t>
    </rPh>
    <rPh sb="61" eb="65">
      <t>ミシュウガクジ</t>
    </rPh>
    <rPh sb="65" eb="67">
      <t>ムリョウ</t>
    </rPh>
    <rPh sb="74" eb="76">
      <t>コジン</t>
    </rPh>
    <rPh sb="76" eb="78">
      <t>リヨウ</t>
    </rPh>
    <rPh sb="87" eb="89">
      <t>ショウガイ</t>
    </rPh>
    <rPh sb="92" eb="93">
      <t>ホウ</t>
    </rPh>
    <rPh sb="96" eb="98">
      <t>カイゴ</t>
    </rPh>
    <rPh sb="98" eb="99">
      <t>ニン</t>
    </rPh>
    <rPh sb="101" eb="102">
      <t>メイ</t>
    </rPh>
    <rPh sb="109" eb="110">
      <t>エン</t>
    </rPh>
    <rPh sb="114" eb="115">
      <t>タ</t>
    </rPh>
    <rPh sb="116" eb="117">
      <t>カタ</t>
    </rPh>
    <rPh sb="121" eb="122">
      <t>エン</t>
    </rPh>
    <phoneticPr fontId="5"/>
  </si>
  <si>
    <t>＜プール＞
300円/1回・13歳未満
600円/1回・13歳以上
＜トレーニングルーム＞
1,000円/1回・13歳以上</t>
    <phoneticPr fontId="4"/>
  </si>
  <si>
    <t>10歳以上・市内：12,000円　　10歳以上・市外：50,000円
＜休憩室＞
　40人用　市内：5,000円、市外：7,500円</t>
    <rPh sb="15" eb="16">
      <t>エン</t>
    </rPh>
    <rPh sb="33" eb="34">
      <t>エン</t>
    </rPh>
    <rPh sb="36" eb="39">
      <t>キュウケイシツ</t>
    </rPh>
    <rPh sb="44" eb="46">
      <t>ニンヨウ</t>
    </rPh>
    <rPh sb="55" eb="56">
      <t>エン</t>
    </rPh>
    <rPh sb="65" eb="66">
      <t>エン</t>
    </rPh>
    <phoneticPr fontId="5"/>
  </si>
  <si>
    <t>＜入場料を徴収しない場合＞
　ホール    47,000円/１日・休日
 　　　　　   40,500円/１日・平日
＜入場料を徴収する場合＞
　ホール    79,500円/１日・休日
　              67,500円/１日・平日</t>
    <phoneticPr fontId="4"/>
  </si>
  <si>
    <t>利用者負担割合
(令和２年度決算)
(A=(B+C)/D)</t>
    <rPh sb="0" eb="3">
      <t>リヨウシャ</t>
    </rPh>
    <rPh sb="3" eb="5">
      <t>フタン</t>
    </rPh>
    <rPh sb="5" eb="7">
      <t>ワリアイ</t>
    </rPh>
    <rPh sb="9" eb="11">
      <t>レイワ</t>
    </rPh>
    <rPh sb="12" eb="14">
      <t>ネンド</t>
    </rPh>
    <rPh sb="14" eb="16">
      <t>ケッサン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</si>
  <si>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69" eb="172">
      <t>ショウガイシャ</t>
    </rPh>
    <rPh sb="173" eb="176">
      <t>カイジョシャ</t>
    </rPh>
    <rPh sb="177" eb="181">
      <t>ミシュウガクジ</t>
    </rPh>
    <rPh sb="182" eb="184">
      <t>リヨウ</t>
    </rPh>
    <rPh sb="186" eb="188">
      <t>バアイ</t>
    </rPh>
    <rPh sb="189" eb="191">
      <t>ゼンガク</t>
    </rPh>
    <rPh sb="191" eb="193">
      <t>ゲンメン</t>
    </rPh>
    <rPh sb="196" eb="199">
      <t>ショウガイシャ</t>
    </rPh>
    <rPh sb="206" eb="208">
      <t>リヨウ</t>
    </rPh>
    <rPh sb="210" eb="212">
      <t>バアイ</t>
    </rPh>
    <rPh sb="214" eb="215">
      <t>ワリ</t>
    </rPh>
    <rPh sb="215" eb="217">
      <t>ゲンメン</t>
    </rPh>
    <phoneticPr fontId="4"/>
  </si>
  <si>
    <r>
      <t>・身体障害者手帳の交付を受けている方等及びその介護者が利用する場合(全額減免）</t>
    </r>
    <r>
      <rPr>
        <strike/>
        <sz val="8.4"/>
        <color theme="1"/>
        <rFont val="ＭＳ Ｐゴシック"/>
        <family val="3"/>
        <charset val="128"/>
      </rPr>
      <t xml:space="preserve">
</t>
    </r>
    <r>
      <rPr>
        <sz val="8.4"/>
        <color theme="1"/>
        <rFont val="ＭＳ Ｐゴシック"/>
        <family val="3"/>
        <charset val="128"/>
      </rPr>
      <t>・教職員に引率された市内の小学校、中学校若しくは高等学校等が教育上の目的で利用する場合（引率する教職員 全額減免、その他の者 5割減免)</t>
    </r>
    <r>
      <rPr>
        <strike/>
        <sz val="8.4"/>
        <color theme="1"/>
        <rFont val="ＭＳ Ｐゴシック"/>
        <family val="3"/>
        <charset val="128"/>
      </rPr>
      <t xml:space="preserve">
</t>
    </r>
    <r>
      <rPr>
        <sz val="8.4"/>
        <color theme="1"/>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</si>
  <si>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 xml:space="preserve">第一体育室（団体利用）：4,000円/2時間
第二体育室（団体利用）：2,000円/2時間
トレーニング室（個人利用）300円/1回(２時間）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</si>
  <si>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③利用者負担割合（〇年度決算）</t>
    <rPh sb="1" eb="4">
      <t>リヨウシャ</t>
    </rPh>
    <rPh sb="4" eb="6">
      <t>フタン</t>
    </rPh>
    <rPh sb="6" eb="8">
      <t>ワリアイ</t>
    </rPh>
    <rPh sb="10" eb="12">
      <t>ネンド</t>
    </rPh>
    <rPh sb="12" eb="14">
      <t>ケッサン</t>
    </rPh>
    <phoneticPr fontId="4"/>
  </si>
  <si>
    <t>④使用料等の収入</t>
    <rPh sb="1" eb="5">
      <t>シヨウリョウナド</t>
    </rPh>
    <rPh sb="6" eb="8">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</si>
</sst>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Red]#,##0"/>
    <numFmt numFmtId="178" formatCode="0.0%"/>
  </numFmts>
  <fonts count="53">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9.6"/>
      <name val="HG創英角ﾎﾟｯﾌﾟ体"/>
      <family val="3"/>
      <charset val="128"/>
    </font>
    <font>
      <sz val="11"/>
      <color theme="1"/>
      <name val="ＭＳ Ｐゴシック"/>
      <family val="3"/>
      <charset val="128"/>
      <scheme val="minor"/>
    </font>
    <font>
      <sz val="9.6"/>
      <color rgb="FFFF0000"/>
      <name val="HG創英角ﾎﾟｯﾌﾟ体"/>
      <family val="3"/>
      <charset val="128"/>
    </font>
    <font>
      <sz val="8.4"/>
      <color theme="1"/>
      <name val="ＭＳ Ｐゴシック"/>
      <family val="3"/>
      <charset val="128"/>
    </font>
    <font>
      <sz val="9.6"/>
      <color theme="1"/>
      <name val="ＭＳ Ｐゴシック"/>
      <family val="3"/>
      <charset val="128"/>
    </font>
    <font>
      <sz val="9.6"/>
      <color theme="1"/>
      <name val="ＭＳ Ｐゴシック"/>
      <family val="3"/>
      <charset val="128"/>
      <scheme val="major"/>
    </font>
    <font>
      <sz val="16"/>
      <color theme="1"/>
      <name val="ＭＳ Ｐゴシック"/>
      <family val="3"/>
      <charset val="128"/>
      <scheme val="major"/>
    </font>
    <font>
      <sz val="16"/>
      <color theme="1"/>
      <name val="ＭＳ Ｐゴシック"/>
      <family val="3"/>
      <charset val="128"/>
    </font>
    <font>
      <sz val="16"/>
      <color rgb="FF000000"/>
      <name val="ＭＳ Ｐゴシック"/>
      <family val="3"/>
      <charset val="128"/>
    </font>
    <font>
      <b/>
      <sz val="12"/>
      <color theme="1"/>
      <name val="ＭＳ Ｐゴシック"/>
      <family val="3"/>
      <charset val="128"/>
      <scheme val="major"/>
    </font>
    <font>
      <b/>
      <sz val="9.6"/>
      <color theme="1"/>
      <name val="ＭＳ Ｐゴシック"/>
      <family val="3"/>
      <charset val="128"/>
      <scheme val="major"/>
    </font>
    <font>
      <sz val="8.5"/>
      <color theme="1"/>
      <name val="ＭＳ Ｐゴシック"/>
      <family val="3"/>
      <charset val="128"/>
      <scheme val="major"/>
    </font>
    <font>
      <sz val="14"/>
      <color theme="1"/>
      <name val="ＭＳ Ｐゴシック"/>
      <family val="3"/>
      <charset val="128"/>
      <scheme val="major"/>
    </font>
    <font>
      <sz val="7.2"/>
      <color theme="1"/>
      <name val="ＭＳ Ｐゴシック"/>
      <family val="3"/>
      <charset val="128"/>
    </font>
    <font>
      <sz val="6.6"/>
      <color theme="1"/>
      <name val="ＭＳ Ｐゴシック"/>
      <family val="3"/>
      <charset val="128"/>
    </font>
    <font>
      <strike/>
      <sz val="8.4"/>
      <color theme="1"/>
      <name val="ＭＳ Ｐゴシック"/>
      <family val="3"/>
      <charset val="128"/>
    </font>
    <font>
      <sz val="8"/>
      <color theme="1"/>
      <name val="ＭＳ Ｐゴシック"/>
      <family val="3"/>
      <charset val="128"/>
    </font>
    <font>
      <sz val="8.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alignment vertical="center"/>
    </xf>
    <xf numFmtId="9" fontId="36"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6"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6" fillId="0" borderId="0">
      <alignment vertical="center"/>
    </xf>
    <xf numFmtId="0" fontId="2" fillId="0" borderId="0"/>
    <xf numFmtId="0" fontId="2" fillId="0" borderId="0"/>
    <xf numFmtId="0" fontId="2" fillId="0" borderId="0"/>
    <xf numFmtId="0" fontId="2" fillId="0" borderId="0"/>
    <xf numFmtId="0" fontId="29" fillId="4" borderId="0" applyNumberFormat="0" applyBorder="0" applyAlignment="0" applyProtection="0">
      <alignment vertical="center"/>
    </xf>
  </cellStyleXfs>
  <cellXfs count="161">
    <xf numFmtId="0" fontId="0" fillId="0" borderId="0" xfId="0">
      <alignment vertical="center"/>
    </xf>
    <xf numFmtId="0" fontId="6" fillId="0" borderId="10" xfId="0" applyFont="1" applyFill="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Fill="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vertical="center" wrapText="1"/>
    </xf>
    <xf numFmtId="0" fontId="3" fillId="0" borderId="0" xfId="0" applyFont="1" applyBorder="1" applyAlignment="1">
      <alignment horizontal="left" vertical="center"/>
    </xf>
    <xf numFmtId="0" fontId="6" fillId="0" borderId="10" xfId="0" applyFont="1" applyFill="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Border="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Border="1" applyAlignment="1">
      <alignment horizontal="left" vertical="center"/>
    </xf>
    <xf numFmtId="38" fontId="6" fillId="24" borderId="13" xfId="37" applyFont="1" applyFill="1" applyBorder="1" applyAlignment="1">
      <alignment horizontal="center" vertical="center" wrapText="1"/>
    </xf>
    <xf numFmtId="38" fontId="6" fillId="24" borderId="15" xfId="37" applyFont="1" applyFill="1" applyBorder="1" applyAlignment="1">
      <alignment horizontal="centerContinuous" vertical="center"/>
    </xf>
    <xf numFmtId="0" fontId="6" fillId="0" borderId="10" xfId="0" applyFont="1" applyFill="1" applyBorder="1" applyAlignment="1">
      <alignment horizontal="left" vertical="center" shrinkToFit="1"/>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7" applyFont="1" applyBorder="1" applyAlignment="1">
      <alignment horizontal="right" vertical="center" shrinkToFit="1"/>
    </xf>
    <xf numFmtId="38" fontId="7" fillId="0" borderId="13" xfId="37" applyFont="1" applyBorder="1" applyAlignment="1">
      <alignment horizontal="right" vertical="center" shrinkToFit="1"/>
    </xf>
    <xf numFmtId="38" fontId="7" fillId="0" borderId="13" xfId="37" applyFont="1" applyFill="1" applyBorder="1" applyAlignment="1">
      <alignment horizontal="right" vertical="center" shrinkToFit="1"/>
    </xf>
    <xf numFmtId="38" fontId="6" fillId="0" borderId="10" xfId="37" applyFont="1" applyFill="1" applyBorder="1" applyAlignment="1">
      <alignment vertical="center" shrinkToFit="1"/>
    </xf>
    <xf numFmtId="38" fontId="5" fillId="0" borderId="0" xfId="37" applyFont="1">
      <alignment vertical="center"/>
    </xf>
    <xf numFmtId="0" fontId="7" fillId="0" borderId="0" xfId="0" applyFont="1" applyFill="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pplyFill="1" applyAlignment="1">
      <alignment vertical="center"/>
    </xf>
    <xf numFmtId="0" fontId="0" fillId="0" borderId="10" xfId="0" applyFont="1" applyFill="1"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0" fontId="0" fillId="0" borderId="0" xfId="0" applyFont="1" applyFill="1">
      <alignment vertical="center"/>
    </xf>
    <xf numFmtId="38" fontId="7" fillId="0" borderId="10" xfId="37" applyFont="1" applyFill="1" applyBorder="1" applyAlignment="1">
      <alignment vertical="center"/>
    </xf>
    <xf numFmtId="0" fontId="0" fillId="0" borderId="0" xfId="0" applyFont="1" applyFill="1"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Fill="1" applyBorder="1" applyAlignment="1">
      <alignment horizontal="right" vertical="center" shrinkToFit="1"/>
    </xf>
    <xf numFmtId="176" fontId="7" fillId="0" borderId="10" xfId="0" applyNumberFormat="1" applyFont="1" applyFill="1" applyBorder="1" applyAlignment="1">
      <alignment vertical="center" shrinkToFit="1"/>
    </xf>
    <xf numFmtId="176" fontId="6" fillId="0" borderId="10" xfId="0" applyNumberFormat="1" applyFont="1" applyFill="1" applyBorder="1" applyAlignment="1">
      <alignment horizontal="left" vertical="center" wrapText="1"/>
    </xf>
    <xf numFmtId="178"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77" fontId="6" fillId="0" borderId="10" xfId="37" applyNumberFormat="1" applyFont="1" applyFill="1" applyBorder="1" applyAlignment="1">
      <alignment horizontal="left" vertical="center"/>
    </xf>
    <xf numFmtId="9" fontId="7" fillId="0" borderId="10" xfId="28" applyNumberFormat="1" applyFont="1" applyFill="1" applyBorder="1" applyAlignment="1">
      <alignment horizontal="center" vertical="center"/>
    </xf>
    <xf numFmtId="0" fontId="32" fillId="0" borderId="0" xfId="0" applyFont="1" applyBorder="1" applyAlignment="1">
      <alignment horizontal="left" vertical="center"/>
    </xf>
    <xf numFmtId="0" fontId="33" fillId="0" borderId="0" xfId="0" applyFont="1" applyAlignment="1">
      <alignment horizontal="center" vertical="center" shrinkToFit="1"/>
    </xf>
    <xf numFmtId="0" fontId="33" fillId="0" borderId="0" xfId="0" applyFont="1" applyAlignment="1">
      <alignment horizontal="left" vertical="center" shrinkToFit="1"/>
    </xf>
    <xf numFmtId="9" fontId="33" fillId="0" borderId="0" xfId="28" applyFont="1">
      <alignment vertical="center"/>
    </xf>
    <xf numFmtId="38" fontId="33" fillId="0" borderId="0" xfId="37" applyFont="1">
      <alignment vertical="center"/>
    </xf>
    <xf numFmtId="38" fontId="34" fillId="0" borderId="0" xfId="37" applyFont="1" applyAlignment="1">
      <alignment vertical="center"/>
    </xf>
    <xf numFmtId="0" fontId="35" fillId="0" borderId="0" xfId="0" applyFont="1" applyBorder="1" applyAlignment="1">
      <alignment horizontal="left" vertical="center"/>
    </xf>
    <xf numFmtId="0" fontId="37" fillId="0" borderId="0" xfId="0" applyFont="1" applyFill="1" applyBorder="1" applyAlignment="1">
      <alignment horizontal="center" vertical="center"/>
    </xf>
    <xf numFmtId="38" fontId="38" fillId="0" borderId="10" xfId="37" applyFont="1" applyFill="1" applyBorder="1" applyAlignment="1">
      <alignment horizontal="left" vertical="center" wrapText="1"/>
    </xf>
    <xf numFmtId="38" fontId="39" fillId="0" borderId="10" xfId="37" applyFont="1" applyFill="1" applyBorder="1" applyAlignment="1">
      <alignment horizontal="right" vertical="center" shrinkToFit="1"/>
    </xf>
    <xf numFmtId="38" fontId="39" fillId="0" borderId="10" xfId="37" applyFont="1" applyFill="1" applyBorder="1" applyAlignment="1">
      <alignment horizontal="right" vertical="center"/>
    </xf>
    <xf numFmtId="0" fontId="33" fillId="0" borderId="0" xfId="0" applyFont="1" applyFill="1" applyAlignment="1">
      <alignment horizontal="center" vertical="center" shrinkToFit="1"/>
    </xf>
    <xf numFmtId="0" fontId="38" fillId="0" borderId="10" xfId="0" applyFont="1" applyFill="1" applyBorder="1" applyAlignment="1">
      <alignment horizontal="left" vertical="center" wrapText="1" shrinkToFit="1"/>
    </xf>
    <xf numFmtId="38" fontId="39" fillId="0" borderId="10" xfId="37" applyFont="1" applyFill="1" applyBorder="1" applyAlignment="1">
      <alignment vertical="center"/>
    </xf>
    <xf numFmtId="176" fontId="39" fillId="0" borderId="10" xfId="0" applyNumberFormat="1" applyFont="1" applyFill="1" applyBorder="1" applyAlignment="1">
      <alignment horizontal="right" vertical="center" shrinkToFit="1"/>
    </xf>
    <xf numFmtId="38" fontId="39" fillId="0" borderId="10" xfId="37" applyFont="1" applyFill="1" applyBorder="1" applyAlignment="1">
      <alignment horizontal="right" vertical="center" wrapText="1"/>
    </xf>
    <xf numFmtId="38" fontId="38" fillId="0" borderId="10" xfId="37" applyFont="1" applyFill="1" applyBorder="1" applyAlignment="1">
      <alignment vertical="center" wrapText="1"/>
    </xf>
    <xf numFmtId="0" fontId="38" fillId="0" borderId="10" xfId="0" applyFont="1" applyFill="1" applyBorder="1" applyAlignment="1">
      <alignment horizontal="center" vertical="center" shrinkToFit="1"/>
    </xf>
    <xf numFmtId="0" fontId="38" fillId="0" borderId="10" xfId="0" applyFont="1" applyFill="1" applyBorder="1" applyAlignment="1">
      <alignment horizontal="left" vertical="center" wrapText="1"/>
    </xf>
    <xf numFmtId="38" fontId="38" fillId="0" borderId="10" xfId="37" applyFont="1" applyFill="1" applyBorder="1" applyAlignment="1">
      <alignment horizontal="left" vertical="center" wrapText="1" shrinkToFit="1"/>
    </xf>
    <xf numFmtId="38" fontId="38" fillId="0" borderId="10" xfId="37" applyFont="1" applyFill="1" applyBorder="1" applyAlignment="1">
      <alignment horizontal="left" vertical="center"/>
    </xf>
    <xf numFmtId="176" fontId="38" fillId="0" borderId="10" xfId="0" applyNumberFormat="1" applyFont="1" applyFill="1" applyBorder="1" applyAlignment="1">
      <alignment horizontal="left" vertical="center" wrapText="1"/>
    </xf>
    <xf numFmtId="177" fontId="38" fillId="0" borderId="10" xfId="37" applyNumberFormat="1" applyFont="1" applyFill="1" applyBorder="1" applyAlignment="1">
      <alignment horizontal="left" vertical="center"/>
    </xf>
    <xf numFmtId="38" fontId="38" fillId="0" borderId="10" xfId="37" applyFont="1" applyFill="1" applyBorder="1" applyAlignment="1">
      <alignment vertical="center"/>
    </xf>
    <xf numFmtId="0" fontId="37" fillId="0" borderId="16" xfId="0" applyFont="1" applyFill="1" applyBorder="1" applyAlignment="1">
      <alignment horizontal="center" vertical="center"/>
    </xf>
    <xf numFmtId="38" fontId="40" fillId="0" borderId="0" xfId="37" applyFont="1" applyFill="1" applyAlignment="1">
      <alignment vertical="center" wrapText="1"/>
    </xf>
    <xf numFmtId="38" fontId="41" fillId="0" borderId="0" xfId="37" applyFont="1" applyFill="1" applyAlignment="1">
      <alignment vertical="center" wrapText="1"/>
    </xf>
    <xf numFmtId="38" fontId="6" fillId="0" borderId="13" xfId="37" applyFont="1" applyFill="1" applyBorder="1" applyAlignment="1">
      <alignment vertical="center" shrinkToFit="1"/>
    </xf>
    <xf numFmtId="0" fontId="42" fillId="0" borderId="0" xfId="0" applyFont="1" applyFill="1" applyAlignment="1">
      <alignment vertical="center"/>
    </xf>
    <xf numFmtId="9" fontId="39" fillId="0" borderId="10" xfId="28" applyFont="1" applyFill="1" applyBorder="1" applyAlignment="1">
      <alignment horizontal="center" vertical="center"/>
    </xf>
    <xf numFmtId="176" fontId="39" fillId="0" borderId="10" xfId="0" applyNumberFormat="1" applyFont="1" applyFill="1" applyBorder="1" applyAlignment="1">
      <alignment vertical="center" shrinkToFit="1"/>
    </xf>
    <xf numFmtId="0" fontId="43" fillId="0" borderId="0" xfId="0" applyFont="1">
      <alignment vertical="center"/>
    </xf>
    <xf numFmtId="38" fontId="40" fillId="0" borderId="10" xfId="37" applyFont="1" applyFill="1" applyBorder="1" applyAlignment="1">
      <alignment horizontal="right" vertical="center" wrapText="1"/>
    </xf>
    <xf numFmtId="38" fontId="44" fillId="0" borderId="0" xfId="37" applyFont="1" applyFill="1" applyAlignment="1">
      <alignment vertical="center" wrapText="1"/>
    </xf>
    <xf numFmtId="38" fontId="45" fillId="0" borderId="16" xfId="37" applyFont="1" applyFill="1" applyBorder="1" applyAlignment="1">
      <alignment horizontal="center" vertical="center" wrapText="1"/>
    </xf>
    <xf numFmtId="38" fontId="38" fillId="0" borderId="0" xfId="37" applyFont="1" applyFill="1" applyBorder="1" applyAlignment="1">
      <alignment horizontal="center" vertical="center"/>
    </xf>
    <xf numFmtId="38" fontId="38" fillId="25" borderId="13" xfId="37" applyFont="1" applyFill="1" applyBorder="1" applyAlignment="1">
      <alignment horizontal="center" vertical="center" wrapText="1"/>
    </xf>
    <xf numFmtId="38" fontId="38" fillId="24" borderId="13" xfId="37" applyFont="1" applyFill="1" applyBorder="1" applyAlignment="1">
      <alignment horizontal="center" vertical="center"/>
    </xf>
    <xf numFmtId="0" fontId="49" fillId="0" borderId="10" xfId="0" applyFont="1" applyFill="1" applyBorder="1" applyAlignment="1">
      <alignment horizontal="center" vertical="center" shrinkToFit="1"/>
    </xf>
    <xf numFmtId="38" fontId="38" fillId="0" borderId="0" xfId="37" applyFont="1" applyFill="1" applyBorder="1" applyAlignment="1">
      <alignment horizontal="left" vertical="center" wrapText="1"/>
    </xf>
    <xf numFmtId="38" fontId="38" fillId="0" borderId="0" xfId="37" applyFont="1" applyFill="1" applyBorder="1" applyAlignment="1">
      <alignment horizontal="left" vertical="center"/>
    </xf>
    <xf numFmtId="38" fontId="38" fillId="0" borderId="0" xfId="37" applyFont="1" applyFill="1" applyBorder="1" applyAlignment="1">
      <alignment horizontal="left" vertical="center" wrapText="1" shrinkToFit="1"/>
    </xf>
    <xf numFmtId="38" fontId="38" fillId="0" borderId="0" xfId="37" applyFont="1" applyFill="1" applyBorder="1" applyAlignment="1">
      <alignment vertical="center" wrapText="1"/>
    </xf>
    <xf numFmtId="38" fontId="38" fillId="0" borderId="0" xfId="37" applyFont="1" applyFill="1" applyBorder="1" applyAlignment="1">
      <alignment vertical="center"/>
    </xf>
    <xf numFmtId="0" fontId="51" fillId="0" borderId="20" xfId="0" applyFont="1" applyBorder="1" applyAlignment="1">
      <alignment vertical="center" readingOrder="1"/>
    </xf>
    <xf numFmtId="38" fontId="48" fillId="0" borderId="0" xfId="37" applyFont="1" applyAlignment="1">
      <alignment vertical="center"/>
    </xf>
    <xf numFmtId="0" fontId="51" fillId="0" borderId="0" xfId="0" applyFont="1" applyFill="1" applyAlignment="1">
      <alignment vertical="center"/>
    </xf>
    <xf numFmtId="0" fontId="49" fillId="0" borderId="0" xfId="0" applyFont="1" applyFill="1" applyAlignment="1">
      <alignment horizontal="center" vertical="center" shrinkToFit="1"/>
    </xf>
    <xf numFmtId="0" fontId="52" fillId="0" borderId="0" xfId="0" applyFont="1" applyAlignment="1">
      <alignment horizontal="left" vertical="center"/>
    </xf>
    <xf numFmtId="0" fontId="52" fillId="0" borderId="0" xfId="0" applyFont="1" applyAlignment="1">
      <alignment horizontal="left" vertical="center" shrinkToFit="1"/>
    </xf>
    <xf numFmtId="9" fontId="52" fillId="0" borderId="0" xfId="28" applyFont="1">
      <alignment vertical="center"/>
    </xf>
    <xf numFmtId="38" fontId="52" fillId="0" borderId="0" xfId="37" applyFont="1">
      <alignment vertical="center"/>
    </xf>
    <xf numFmtId="38" fontId="52" fillId="0" borderId="0" xfId="37" applyFont="1" applyAlignment="1">
      <alignment vertical="center"/>
    </xf>
    <xf numFmtId="0" fontId="49" fillId="0" borderId="0" xfId="0" applyFont="1" applyAlignment="1">
      <alignment horizontal="left" vertical="center" shrinkToFit="1"/>
    </xf>
    <xf numFmtId="9" fontId="49" fillId="0" borderId="0" xfId="28" applyFont="1">
      <alignment vertical="center"/>
    </xf>
    <xf numFmtId="38" fontId="49" fillId="0" borderId="0" xfId="37" applyFont="1">
      <alignment vertical="center"/>
    </xf>
    <xf numFmtId="0" fontId="37" fillId="0" borderId="16" xfId="0" applyFont="1" applyFill="1" applyBorder="1" applyAlignment="1">
      <alignment horizontal="center" vertical="center" wrapText="1"/>
    </xf>
    <xf numFmtId="0" fontId="37" fillId="0" borderId="16" xfId="0" applyFont="1" applyFill="1" applyBorder="1" applyAlignment="1">
      <alignment horizontal="center" vertical="center"/>
    </xf>
    <xf numFmtId="0" fontId="48" fillId="24" borderId="11" xfId="0" applyFont="1" applyFill="1" applyBorder="1" applyAlignment="1">
      <alignment horizontal="center" vertical="center" shrinkToFit="1"/>
    </xf>
    <xf numFmtId="0" fontId="48" fillId="24" borderId="12" xfId="0" applyFont="1" applyFill="1" applyBorder="1" applyAlignment="1">
      <alignment horizontal="center" vertical="center" shrinkToFit="1"/>
    </xf>
    <xf numFmtId="0" fontId="38" fillId="24" borderId="10" xfId="0" applyFont="1" applyFill="1" applyBorder="1" applyAlignment="1">
      <alignment horizontal="center" vertical="center" shrinkToFit="1"/>
    </xf>
    <xf numFmtId="0" fontId="38" fillId="24" borderId="11" xfId="0" applyFont="1" applyFill="1" applyBorder="1" applyAlignment="1">
      <alignment horizontal="center" vertical="center" shrinkToFit="1"/>
    </xf>
    <xf numFmtId="0" fontId="38" fillId="24" borderId="12" xfId="0" applyFont="1" applyFill="1" applyBorder="1" applyAlignment="1">
      <alignment horizontal="center" vertical="center" shrinkToFit="1"/>
    </xf>
    <xf numFmtId="9" fontId="38" fillId="24" borderId="11" xfId="28" applyFont="1" applyFill="1" applyBorder="1" applyAlignment="1">
      <alignment horizontal="center" vertical="center" wrapText="1"/>
    </xf>
    <xf numFmtId="9" fontId="38" fillId="24" borderId="12" xfId="28" applyFont="1" applyFill="1" applyBorder="1" applyAlignment="1">
      <alignment horizontal="center" vertical="center" wrapText="1"/>
    </xf>
    <xf numFmtId="38" fontId="38" fillId="24" borderId="10" xfId="37" applyFont="1" applyFill="1" applyBorder="1" applyAlignment="1">
      <alignment horizontal="center" vertical="center" wrapText="1"/>
    </xf>
    <xf numFmtId="38" fontId="38" fillId="24" borderId="10" xfId="37" applyFont="1" applyFill="1" applyBorder="1" applyAlignment="1">
      <alignment horizontal="center" vertical="center"/>
    </xf>
    <xf numFmtId="49" fontId="38" fillId="24" borderId="10" xfId="37" applyNumberFormat="1" applyFont="1" applyFill="1" applyBorder="1" applyAlignment="1">
      <alignment horizontal="center" vertical="center" wrapText="1"/>
    </xf>
    <xf numFmtId="49" fontId="38" fillId="24" borderId="10" xfId="37" applyNumberFormat="1" applyFont="1" applyFill="1" applyBorder="1" applyAlignment="1">
      <alignment horizontal="center" vertical="center"/>
    </xf>
    <xf numFmtId="38" fontId="38" fillId="24" borderId="13" xfId="37" applyFont="1" applyFill="1" applyBorder="1" applyAlignment="1">
      <alignment horizontal="center" vertical="center" wrapText="1"/>
    </xf>
    <xf numFmtId="38" fontId="38" fillId="24" borderId="13" xfId="37" applyFont="1" applyFill="1" applyBorder="1" applyAlignment="1">
      <alignment horizontal="center" vertical="center"/>
    </xf>
    <xf numFmtId="0" fontId="52" fillId="0" borderId="20" xfId="0" applyFont="1" applyBorder="1" applyAlignment="1">
      <alignment horizontal="left" vertical="center" readingOrder="1"/>
    </xf>
    <xf numFmtId="0" fontId="52" fillId="0" borderId="0" xfId="0" applyFont="1" applyFill="1" applyAlignment="1">
      <alignment horizontal="left" vertical="center" wrapText="1"/>
    </xf>
    <xf numFmtId="0" fontId="52" fillId="0" borderId="0" xfId="0" applyFont="1" applyFill="1" applyAlignment="1">
      <alignment horizontal="left" vertical="center"/>
    </xf>
    <xf numFmtId="38" fontId="38" fillId="24" borderId="14" xfId="37" applyFont="1" applyFill="1" applyBorder="1" applyAlignment="1">
      <alignment horizontal="center" vertical="center"/>
    </xf>
    <xf numFmtId="38" fontId="38" fillId="24" borderId="11" xfId="37" applyFont="1" applyFill="1" applyBorder="1" applyAlignment="1">
      <alignment horizontal="center" vertical="center"/>
    </xf>
    <xf numFmtId="38" fontId="38" fillId="24" borderId="12" xfId="37" applyFont="1" applyFill="1" applyBorder="1" applyAlignment="1">
      <alignment horizontal="center" vertical="center"/>
    </xf>
    <xf numFmtId="38" fontId="46" fillId="25" borderId="10" xfId="37" applyFont="1" applyFill="1" applyBorder="1" applyAlignment="1">
      <alignment horizontal="center" vertical="center" wrapText="1"/>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0"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0" fontId="5"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wrapText="1" shrinkToFit="1"/>
    </xf>
    <xf numFmtId="0" fontId="6" fillId="24" borderId="11" xfId="0" applyFont="1" applyFill="1" applyBorder="1" applyAlignment="1">
      <alignment horizontal="center" vertical="center" wrapText="1" shrinkToFit="1"/>
    </xf>
    <xf numFmtId="38" fontId="47" fillId="25" borderId="17" xfId="37" applyFont="1" applyFill="1" applyBorder="1" applyAlignment="1">
      <alignment horizontal="center" vertical="center" wrapText="1"/>
    </xf>
    <xf numFmtId="38" fontId="47" fillId="25" borderId="18" xfId="37" applyFont="1" applyFill="1" applyBorder="1" applyAlignment="1">
      <alignment horizontal="center" vertical="center" wrapText="1"/>
    </xf>
    <xf numFmtId="38" fontId="47" fillId="25" borderId="21" xfId="37" applyFont="1" applyFill="1" applyBorder="1" applyAlignment="1">
      <alignment horizontal="center" vertical="center" wrapText="1"/>
    </xf>
    <xf numFmtId="38" fontId="47" fillId="25" borderId="19" xfId="37" applyFont="1" applyFill="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38" fontId="6" fillId="24" borderId="17" xfId="37" applyFont="1" applyFill="1" applyBorder="1" applyAlignment="1">
      <alignment horizontal="center" vertical="center" wrapText="1"/>
    </xf>
    <xf numFmtId="38" fontId="6" fillId="24" borderId="21" xfId="37" applyFont="1" applyFill="1" applyBorder="1" applyAlignment="1">
      <alignment horizontal="center"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ハイパーリンク" xfId="31" builtinId="8"/>
    <cellStyle name="メモ 2" xfId="32"/>
    <cellStyle name="リンク セル 2" xfId="33"/>
    <cellStyle name="悪い 2" xfId="34"/>
    <cellStyle name="計算 2" xfId="35"/>
    <cellStyle name="警告文 2" xfId="36"/>
    <cellStyle name="桁区切り" xfId="37" builtinId="6"/>
    <cellStyle name="桁区切り 2" xfId="38"/>
    <cellStyle name="桁区切り 6"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10" xfId="48"/>
    <cellStyle name="標準 10 2" xfId="49"/>
    <cellStyle name="標準 2" xfId="50"/>
    <cellStyle name="標準 3" xfId="51"/>
    <cellStyle name="標準 4" xfId="52"/>
    <cellStyle name="良い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504265</xdr:colOff>
      <xdr:row>1</xdr:row>
      <xdr:rowOff>38202</xdr:rowOff>
    </xdr:from>
    <xdr:to>
      <xdr:col>13</xdr:col>
      <xdr:colOff>2401</xdr:colOff>
      <xdr:row>2</xdr:row>
      <xdr:rowOff>323079</xdr:rowOff>
    </xdr:to>
    <xdr:sp macro="" textlink="">
      <xdr:nvSpPr>
        <xdr:cNvPr id="8" name="Rectangle 111"/>
        <xdr:cNvSpPr>
          <a:spLocks noChangeArrowheads="1"/>
        </xdr:cNvSpPr>
      </xdr:nvSpPr>
      <xdr:spPr bwMode="auto">
        <a:xfrm>
          <a:off x="10365441" y="396790"/>
          <a:ext cx="7868931" cy="441760"/>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2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令和２年度決算については新型コロナウイルス感染症の影響により、休館及び利用制限等を行っていた指定管理施設に対する運営支援等を実施しています。</a:t>
          </a:r>
        </a:p>
        <a:p>
          <a:pPr algn="l" rtl="0">
            <a:lnSpc>
              <a:spcPts val="12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当調査における、「使用料等の収入」には本市からの支援額は含まれておりません。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814804</xdr:colOff>
      <xdr:row>72</xdr:row>
      <xdr:rowOff>762</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124</xdr:rowOff>
    </xdr:from>
    <xdr:to>
      <xdr:col>3</xdr:col>
      <xdr:colOff>3519140</xdr:colOff>
      <xdr:row>69</xdr:row>
      <xdr:rowOff>994</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204006</xdr:rowOff>
    </xdr:from>
    <xdr:to>
      <xdr:col>11</xdr:col>
      <xdr:colOff>2112653</xdr:colOff>
      <xdr:row>72</xdr:row>
      <xdr:rowOff>353</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64</xdr:row>
      <xdr:rowOff>204453</xdr:rowOff>
    </xdr:from>
    <xdr:to>
      <xdr:col>9</xdr:col>
      <xdr:colOff>814804</xdr:colOff>
      <xdr:row>71</xdr:row>
      <xdr:rowOff>204692</xdr:rowOff>
    </xdr:to>
    <xdr:sp macro="" textlink="">
      <xdr:nvSpPr>
        <xdr:cNvPr id="3" name="Text Box 110"/>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123</xdr:rowOff>
    </xdr:from>
    <xdr:to>
      <xdr:col>3</xdr:col>
      <xdr:colOff>3519140</xdr:colOff>
      <xdr:row>68</xdr:row>
      <xdr:rowOff>1157</xdr:rowOff>
    </xdr:to>
    <xdr:sp macro="" textlink="">
      <xdr:nvSpPr>
        <xdr:cNvPr id="4" name="Rectangle 111"/>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5"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2112653</xdr:colOff>
      <xdr:row>71</xdr:row>
      <xdr:rowOff>207571</xdr:rowOff>
    </xdr:to>
    <xdr:sp macro="" textlink="">
      <xdr:nvSpPr>
        <xdr:cNvPr id="6" name="Rectangle 111"/>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814804</xdr:colOff>
      <xdr:row>72</xdr:row>
      <xdr:rowOff>35178</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7744</xdr:rowOff>
    </xdr:from>
    <xdr:to>
      <xdr:col>3</xdr:col>
      <xdr:colOff>3519140</xdr:colOff>
      <xdr:row>69</xdr:row>
      <xdr:rowOff>3738</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4"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217341</xdr:rowOff>
    </xdr:from>
    <xdr:to>
      <xdr:col>11</xdr:col>
      <xdr:colOff>2112653</xdr:colOff>
      <xdr:row>72</xdr:row>
      <xdr:rowOff>34758</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26" Type="http://schemas.openxmlformats.org/officeDocument/2006/relationships/printerSettings" Target="../printerSettings/printerSettings60.bin"/><Relationship Id="rId3" Type="http://schemas.openxmlformats.org/officeDocument/2006/relationships/printerSettings" Target="../printerSettings/printerSettings37.bin"/><Relationship Id="rId21" Type="http://schemas.openxmlformats.org/officeDocument/2006/relationships/printerSettings" Target="../printerSettings/printerSettings55.bin"/><Relationship Id="rId34" Type="http://schemas.openxmlformats.org/officeDocument/2006/relationships/printerSettings" Target="../printerSettings/printerSettings68.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5" Type="http://schemas.openxmlformats.org/officeDocument/2006/relationships/printerSettings" Target="../printerSettings/printerSettings59.bin"/><Relationship Id="rId33" Type="http://schemas.openxmlformats.org/officeDocument/2006/relationships/printerSettings" Target="../printerSettings/printerSettings67.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29" Type="http://schemas.openxmlformats.org/officeDocument/2006/relationships/printerSettings" Target="../printerSettings/printerSettings63.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24" Type="http://schemas.openxmlformats.org/officeDocument/2006/relationships/printerSettings" Target="../printerSettings/printerSettings58.bin"/><Relationship Id="rId32" Type="http://schemas.openxmlformats.org/officeDocument/2006/relationships/printerSettings" Target="../printerSettings/printerSettings66.bin"/><Relationship Id="rId37" Type="http://schemas.openxmlformats.org/officeDocument/2006/relationships/comments" Target="../comments1.xml"/><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23" Type="http://schemas.openxmlformats.org/officeDocument/2006/relationships/printerSettings" Target="../printerSettings/printerSettings57.bin"/><Relationship Id="rId28" Type="http://schemas.openxmlformats.org/officeDocument/2006/relationships/printerSettings" Target="../printerSettings/printerSettings62.bin"/><Relationship Id="rId36" Type="http://schemas.openxmlformats.org/officeDocument/2006/relationships/vmlDrawing" Target="../drawings/vmlDrawing1.vml"/><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31" Type="http://schemas.openxmlformats.org/officeDocument/2006/relationships/printerSettings" Target="../printerSettings/printerSettings65.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 Id="rId22" Type="http://schemas.openxmlformats.org/officeDocument/2006/relationships/printerSettings" Target="../printerSettings/printerSettings56.bin"/><Relationship Id="rId27" Type="http://schemas.openxmlformats.org/officeDocument/2006/relationships/printerSettings" Target="../printerSettings/printerSettings61.bin"/><Relationship Id="rId30" Type="http://schemas.openxmlformats.org/officeDocument/2006/relationships/printerSettings" Target="../printerSettings/printerSettings64.bin"/><Relationship Id="rId3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6.bin"/><Relationship Id="rId13" Type="http://schemas.openxmlformats.org/officeDocument/2006/relationships/printerSettings" Target="../printerSettings/printerSettings81.bin"/><Relationship Id="rId18" Type="http://schemas.openxmlformats.org/officeDocument/2006/relationships/printerSettings" Target="../printerSettings/printerSettings86.bin"/><Relationship Id="rId26" Type="http://schemas.openxmlformats.org/officeDocument/2006/relationships/printerSettings" Target="../printerSettings/printerSettings94.bin"/><Relationship Id="rId3" Type="http://schemas.openxmlformats.org/officeDocument/2006/relationships/printerSettings" Target="../printerSettings/printerSettings71.bin"/><Relationship Id="rId21" Type="http://schemas.openxmlformats.org/officeDocument/2006/relationships/printerSettings" Target="../printerSettings/printerSettings89.bin"/><Relationship Id="rId34" Type="http://schemas.openxmlformats.org/officeDocument/2006/relationships/printerSettings" Target="../printerSettings/printerSettings102.bin"/><Relationship Id="rId7" Type="http://schemas.openxmlformats.org/officeDocument/2006/relationships/printerSettings" Target="../printerSettings/printerSettings75.bin"/><Relationship Id="rId12" Type="http://schemas.openxmlformats.org/officeDocument/2006/relationships/printerSettings" Target="../printerSettings/printerSettings80.bin"/><Relationship Id="rId17" Type="http://schemas.openxmlformats.org/officeDocument/2006/relationships/printerSettings" Target="../printerSettings/printerSettings85.bin"/><Relationship Id="rId25" Type="http://schemas.openxmlformats.org/officeDocument/2006/relationships/printerSettings" Target="../printerSettings/printerSettings93.bin"/><Relationship Id="rId33" Type="http://schemas.openxmlformats.org/officeDocument/2006/relationships/printerSettings" Target="../printerSettings/printerSettings101.bin"/><Relationship Id="rId2" Type="http://schemas.openxmlformats.org/officeDocument/2006/relationships/printerSettings" Target="../printerSettings/printerSettings70.bin"/><Relationship Id="rId16" Type="http://schemas.openxmlformats.org/officeDocument/2006/relationships/printerSettings" Target="../printerSettings/printerSettings84.bin"/><Relationship Id="rId20" Type="http://schemas.openxmlformats.org/officeDocument/2006/relationships/printerSettings" Target="../printerSettings/printerSettings88.bin"/><Relationship Id="rId29" Type="http://schemas.openxmlformats.org/officeDocument/2006/relationships/printerSettings" Target="../printerSettings/printerSettings97.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11" Type="http://schemas.openxmlformats.org/officeDocument/2006/relationships/printerSettings" Target="../printerSettings/printerSettings79.bin"/><Relationship Id="rId24" Type="http://schemas.openxmlformats.org/officeDocument/2006/relationships/printerSettings" Target="../printerSettings/printerSettings92.bin"/><Relationship Id="rId32" Type="http://schemas.openxmlformats.org/officeDocument/2006/relationships/printerSettings" Target="../printerSettings/printerSettings100.bin"/><Relationship Id="rId37" Type="http://schemas.openxmlformats.org/officeDocument/2006/relationships/comments" Target="../comments2.xml"/><Relationship Id="rId5" Type="http://schemas.openxmlformats.org/officeDocument/2006/relationships/printerSettings" Target="../printerSettings/printerSettings73.bin"/><Relationship Id="rId15" Type="http://schemas.openxmlformats.org/officeDocument/2006/relationships/printerSettings" Target="../printerSettings/printerSettings83.bin"/><Relationship Id="rId23" Type="http://schemas.openxmlformats.org/officeDocument/2006/relationships/printerSettings" Target="../printerSettings/printerSettings91.bin"/><Relationship Id="rId28" Type="http://schemas.openxmlformats.org/officeDocument/2006/relationships/printerSettings" Target="../printerSettings/printerSettings96.bin"/><Relationship Id="rId36" Type="http://schemas.openxmlformats.org/officeDocument/2006/relationships/vmlDrawing" Target="../drawings/vmlDrawing2.vml"/><Relationship Id="rId10" Type="http://schemas.openxmlformats.org/officeDocument/2006/relationships/printerSettings" Target="../printerSettings/printerSettings78.bin"/><Relationship Id="rId19" Type="http://schemas.openxmlformats.org/officeDocument/2006/relationships/printerSettings" Target="../printerSettings/printerSettings87.bin"/><Relationship Id="rId31" Type="http://schemas.openxmlformats.org/officeDocument/2006/relationships/printerSettings" Target="../printerSettings/printerSettings99.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 Id="rId14" Type="http://schemas.openxmlformats.org/officeDocument/2006/relationships/printerSettings" Target="../printerSettings/printerSettings82.bin"/><Relationship Id="rId22" Type="http://schemas.openxmlformats.org/officeDocument/2006/relationships/printerSettings" Target="../printerSettings/printerSettings90.bin"/><Relationship Id="rId27" Type="http://schemas.openxmlformats.org/officeDocument/2006/relationships/printerSettings" Target="../printerSettings/printerSettings95.bin"/><Relationship Id="rId30" Type="http://schemas.openxmlformats.org/officeDocument/2006/relationships/printerSettings" Target="../printerSettings/printerSettings98.bin"/><Relationship Id="rId3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0.bin"/><Relationship Id="rId13" Type="http://schemas.openxmlformats.org/officeDocument/2006/relationships/printerSettings" Target="../printerSettings/printerSettings115.bin"/><Relationship Id="rId18" Type="http://schemas.openxmlformats.org/officeDocument/2006/relationships/printerSettings" Target="../printerSettings/printerSettings120.bin"/><Relationship Id="rId26" Type="http://schemas.openxmlformats.org/officeDocument/2006/relationships/printerSettings" Target="../printerSettings/printerSettings128.bin"/><Relationship Id="rId3" Type="http://schemas.openxmlformats.org/officeDocument/2006/relationships/printerSettings" Target="../printerSettings/printerSettings105.bin"/><Relationship Id="rId21" Type="http://schemas.openxmlformats.org/officeDocument/2006/relationships/printerSettings" Target="../printerSettings/printerSettings123.bin"/><Relationship Id="rId34" Type="http://schemas.openxmlformats.org/officeDocument/2006/relationships/printerSettings" Target="../printerSettings/printerSettings136.bin"/><Relationship Id="rId7" Type="http://schemas.openxmlformats.org/officeDocument/2006/relationships/printerSettings" Target="../printerSettings/printerSettings109.bin"/><Relationship Id="rId12" Type="http://schemas.openxmlformats.org/officeDocument/2006/relationships/printerSettings" Target="../printerSettings/printerSettings114.bin"/><Relationship Id="rId17" Type="http://schemas.openxmlformats.org/officeDocument/2006/relationships/printerSettings" Target="../printerSettings/printerSettings119.bin"/><Relationship Id="rId25" Type="http://schemas.openxmlformats.org/officeDocument/2006/relationships/printerSettings" Target="../printerSettings/printerSettings127.bin"/><Relationship Id="rId33" Type="http://schemas.openxmlformats.org/officeDocument/2006/relationships/printerSettings" Target="../printerSettings/printerSettings135.bin"/><Relationship Id="rId2" Type="http://schemas.openxmlformats.org/officeDocument/2006/relationships/printerSettings" Target="../printerSettings/printerSettings104.bin"/><Relationship Id="rId16" Type="http://schemas.openxmlformats.org/officeDocument/2006/relationships/printerSettings" Target="../printerSettings/printerSettings118.bin"/><Relationship Id="rId20" Type="http://schemas.openxmlformats.org/officeDocument/2006/relationships/printerSettings" Target="../printerSettings/printerSettings122.bin"/><Relationship Id="rId29" Type="http://schemas.openxmlformats.org/officeDocument/2006/relationships/printerSettings" Target="../printerSettings/printerSettings131.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11" Type="http://schemas.openxmlformats.org/officeDocument/2006/relationships/printerSettings" Target="../printerSettings/printerSettings113.bin"/><Relationship Id="rId24" Type="http://schemas.openxmlformats.org/officeDocument/2006/relationships/printerSettings" Target="../printerSettings/printerSettings126.bin"/><Relationship Id="rId32" Type="http://schemas.openxmlformats.org/officeDocument/2006/relationships/printerSettings" Target="../printerSettings/printerSettings134.bin"/><Relationship Id="rId37" Type="http://schemas.openxmlformats.org/officeDocument/2006/relationships/comments" Target="../comments3.xml"/><Relationship Id="rId5" Type="http://schemas.openxmlformats.org/officeDocument/2006/relationships/printerSettings" Target="../printerSettings/printerSettings107.bin"/><Relationship Id="rId15" Type="http://schemas.openxmlformats.org/officeDocument/2006/relationships/printerSettings" Target="../printerSettings/printerSettings117.bin"/><Relationship Id="rId23" Type="http://schemas.openxmlformats.org/officeDocument/2006/relationships/printerSettings" Target="../printerSettings/printerSettings125.bin"/><Relationship Id="rId28" Type="http://schemas.openxmlformats.org/officeDocument/2006/relationships/printerSettings" Target="../printerSettings/printerSettings130.bin"/><Relationship Id="rId36" Type="http://schemas.openxmlformats.org/officeDocument/2006/relationships/vmlDrawing" Target="../drawings/vmlDrawing3.vml"/><Relationship Id="rId10" Type="http://schemas.openxmlformats.org/officeDocument/2006/relationships/printerSettings" Target="../printerSettings/printerSettings112.bin"/><Relationship Id="rId19" Type="http://schemas.openxmlformats.org/officeDocument/2006/relationships/printerSettings" Target="../printerSettings/printerSettings121.bin"/><Relationship Id="rId31" Type="http://schemas.openxmlformats.org/officeDocument/2006/relationships/printerSettings" Target="../printerSettings/printerSettings133.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 Id="rId14" Type="http://schemas.openxmlformats.org/officeDocument/2006/relationships/printerSettings" Target="../printerSettings/printerSettings116.bin"/><Relationship Id="rId22" Type="http://schemas.openxmlformats.org/officeDocument/2006/relationships/printerSettings" Target="../printerSettings/printerSettings124.bin"/><Relationship Id="rId27" Type="http://schemas.openxmlformats.org/officeDocument/2006/relationships/printerSettings" Target="../printerSettings/printerSettings129.bin"/><Relationship Id="rId30" Type="http://schemas.openxmlformats.org/officeDocument/2006/relationships/printerSettings" Target="../printerSettings/printerSettings132.bin"/><Relationship Id="rId3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44.bin"/><Relationship Id="rId13" Type="http://schemas.openxmlformats.org/officeDocument/2006/relationships/printerSettings" Target="../printerSettings/printerSettings149.bin"/><Relationship Id="rId18" Type="http://schemas.openxmlformats.org/officeDocument/2006/relationships/printerSettings" Target="../printerSettings/printerSettings154.bin"/><Relationship Id="rId26" Type="http://schemas.openxmlformats.org/officeDocument/2006/relationships/printerSettings" Target="../printerSettings/printerSettings162.bin"/><Relationship Id="rId3" Type="http://schemas.openxmlformats.org/officeDocument/2006/relationships/printerSettings" Target="../printerSettings/printerSettings139.bin"/><Relationship Id="rId21" Type="http://schemas.openxmlformats.org/officeDocument/2006/relationships/printerSettings" Target="../printerSettings/printerSettings157.bin"/><Relationship Id="rId34" Type="http://schemas.openxmlformats.org/officeDocument/2006/relationships/printerSettings" Target="../printerSettings/printerSettings170.bin"/><Relationship Id="rId7" Type="http://schemas.openxmlformats.org/officeDocument/2006/relationships/printerSettings" Target="../printerSettings/printerSettings143.bin"/><Relationship Id="rId12" Type="http://schemas.openxmlformats.org/officeDocument/2006/relationships/printerSettings" Target="../printerSettings/printerSettings148.bin"/><Relationship Id="rId17" Type="http://schemas.openxmlformats.org/officeDocument/2006/relationships/printerSettings" Target="../printerSettings/printerSettings153.bin"/><Relationship Id="rId25" Type="http://schemas.openxmlformats.org/officeDocument/2006/relationships/printerSettings" Target="../printerSettings/printerSettings161.bin"/><Relationship Id="rId33" Type="http://schemas.openxmlformats.org/officeDocument/2006/relationships/printerSettings" Target="../printerSettings/printerSettings169.bin"/><Relationship Id="rId2" Type="http://schemas.openxmlformats.org/officeDocument/2006/relationships/printerSettings" Target="../printerSettings/printerSettings138.bin"/><Relationship Id="rId16" Type="http://schemas.openxmlformats.org/officeDocument/2006/relationships/printerSettings" Target="../printerSettings/printerSettings152.bin"/><Relationship Id="rId20" Type="http://schemas.openxmlformats.org/officeDocument/2006/relationships/printerSettings" Target="../printerSettings/printerSettings156.bin"/><Relationship Id="rId29" Type="http://schemas.openxmlformats.org/officeDocument/2006/relationships/printerSettings" Target="../printerSettings/printerSettings165.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11" Type="http://schemas.openxmlformats.org/officeDocument/2006/relationships/printerSettings" Target="../printerSettings/printerSettings147.bin"/><Relationship Id="rId24" Type="http://schemas.openxmlformats.org/officeDocument/2006/relationships/printerSettings" Target="../printerSettings/printerSettings160.bin"/><Relationship Id="rId32" Type="http://schemas.openxmlformats.org/officeDocument/2006/relationships/printerSettings" Target="../printerSettings/printerSettings168.bin"/><Relationship Id="rId5" Type="http://schemas.openxmlformats.org/officeDocument/2006/relationships/printerSettings" Target="../printerSettings/printerSettings141.bin"/><Relationship Id="rId15" Type="http://schemas.openxmlformats.org/officeDocument/2006/relationships/printerSettings" Target="../printerSettings/printerSettings151.bin"/><Relationship Id="rId23" Type="http://schemas.openxmlformats.org/officeDocument/2006/relationships/printerSettings" Target="../printerSettings/printerSettings159.bin"/><Relationship Id="rId28" Type="http://schemas.openxmlformats.org/officeDocument/2006/relationships/printerSettings" Target="../printerSettings/printerSettings164.bin"/><Relationship Id="rId10" Type="http://schemas.openxmlformats.org/officeDocument/2006/relationships/printerSettings" Target="../printerSettings/printerSettings146.bin"/><Relationship Id="rId19" Type="http://schemas.openxmlformats.org/officeDocument/2006/relationships/printerSettings" Target="../printerSettings/printerSettings155.bin"/><Relationship Id="rId31" Type="http://schemas.openxmlformats.org/officeDocument/2006/relationships/printerSettings" Target="../printerSettings/printerSettings167.bin"/><Relationship Id="rId4" Type="http://schemas.openxmlformats.org/officeDocument/2006/relationships/printerSettings" Target="../printerSettings/printerSettings140.bin"/><Relationship Id="rId9" Type="http://schemas.openxmlformats.org/officeDocument/2006/relationships/printerSettings" Target="../printerSettings/printerSettings145.bin"/><Relationship Id="rId14" Type="http://schemas.openxmlformats.org/officeDocument/2006/relationships/printerSettings" Target="../printerSettings/printerSettings150.bin"/><Relationship Id="rId22" Type="http://schemas.openxmlformats.org/officeDocument/2006/relationships/printerSettings" Target="../printerSettings/printerSettings158.bin"/><Relationship Id="rId27" Type="http://schemas.openxmlformats.org/officeDocument/2006/relationships/printerSettings" Target="../printerSettings/printerSettings163.bin"/><Relationship Id="rId30" Type="http://schemas.openxmlformats.org/officeDocument/2006/relationships/printerSettings" Target="../printerSettings/printerSettings1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view="pageBreakPreview" zoomScale="85" zoomScaleNormal="55" zoomScaleSheetLayoutView="85" workbookViewId="0">
      <pane xSplit="3" topLeftCell="D1" activePane="topRight" state="frozen"/>
      <selection pane="topRight" activeCell="A2" sqref="A2"/>
    </sheetView>
  </sheetViews>
  <sheetFormatPr defaultRowHeight="18.75"/>
  <cols>
    <col min="1" max="1" width="3.625" style="7" customWidth="1"/>
    <col min="2" max="2" width="10.75" style="7" customWidth="1"/>
    <col min="3" max="3" width="27.625" style="6" customWidth="1"/>
    <col min="4" max="4" width="35.625" style="6" customWidth="1"/>
    <col min="5" max="5" width="9.125" style="8" bestFit="1" customWidth="1"/>
    <col min="6" max="7" width="7.75" style="8" customWidth="1"/>
    <col min="8" max="8" width="11.875" style="10" customWidth="1"/>
    <col min="9" max="9" width="7.375" style="10" bestFit="1" customWidth="1"/>
    <col min="10" max="10" width="7.75" style="10" customWidth="1"/>
    <col min="11" max="11" width="42.625" style="11" customWidth="1"/>
    <col min="12" max="12" width="50.125" style="11" bestFit="1" customWidth="1"/>
    <col min="13" max="13" width="17.125" style="86" bestFit="1" customWidth="1"/>
    <col min="14" max="14" width="3.875" style="11" customWidth="1"/>
  </cols>
  <sheetData>
    <row r="1" spans="1:14" ht="29.1" customHeight="1">
      <c r="A1" s="60" t="s">
        <v>379</v>
      </c>
      <c r="B1" s="61"/>
      <c r="C1" s="62"/>
      <c r="D1" s="62"/>
      <c r="E1" s="63"/>
      <c r="F1" s="63"/>
      <c r="G1" s="63"/>
      <c r="H1" s="64"/>
      <c r="I1" s="64"/>
      <c r="J1" s="64"/>
      <c r="K1" s="65"/>
      <c r="L1" s="65"/>
      <c r="M1" s="93"/>
      <c r="N1" s="65"/>
    </row>
    <row r="2" spans="1:14" ht="13.15" customHeight="1">
      <c r="A2" s="60"/>
      <c r="B2" s="61"/>
      <c r="C2" s="62"/>
      <c r="D2" s="62"/>
      <c r="E2" s="63"/>
      <c r="F2" s="63"/>
      <c r="G2" s="63"/>
      <c r="H2" s="64"/>
      <c r="I2" s="64"/>
      <c r="J2" s="64"/>
      <c r="K2" s="65"/>
      <c r="L2" s="65"/>
      <c r="M2" s="85"/>
      <c r="N2" s="65"/>
    </row>
    <row r="3" spans="1:14" ht="30.2" customHeight="1">
      <c r="A3" s="66"/>
      <c r="B3" s="66"/>
      <c r="C3" s="66"/>
      <c r="D3" s="84"/>
      <c r="E3" s="116"/>
      <c r="F3" s="117"/>
      <c r="G3" s="117"/>
      <c r="H3" s="117"/>
      <c r="I3" s="117"/>
      <c r="J3" s="117"/>
      <c r="K3" s="84"/>
      <c r="L3" s="84"/>
      <c r="M3" s="94"/>
      <c r="N3" s="67"/>
    </row>
    <row r="4" spans="1:14" ht="30.2" customHeight="1">
      <c r="A4" s="118"/>
      <c r="B4" s="120" t="s">
        <v>103</v>
      </c>
      <c r="C4" s="121" t="s">
        <v>73</v>
      </c>
      <c r="D4" s="121" t="s">
        <v>36</v>
      </c>
      <c r="E4" s="123" t="s">
        <v>420</v>
      </c>
      <c r="F4" s="125" t="s">
        <v>380</v>
      </c>
      <c r="G4" s="127" t="s">
        <v>381</v>
      </c>
      <c r="H4" s="129" t="s">
        <v>382</v>
      </c>
      <c r="I4" s="130" t="s">
        <v>16</v>
      </c>
      <c r="J4" s="134"/>
      <c r="K4" s="126" t="s">
        <v>17</v>
      </c>
      <c r="L4" s="135" t="s">
        <v>38</v>
      </c>
      <c r="M4" s="137" t="s">
        <v>400</v>
      </c>
      <c r="N4" s="95"/>
    </row>
    <row r="5" spans="1:14" ht="36" customHeight="1">
      <c r="A5" s="119"/>
      <c r="B5" s="120"/>
      <c r="C5" s="122"/>
      <c r="D5" s="122"/>
      <c r="E5" s="124"/>
      <c r="F5" s="126"/>
      <c r="G5" s="128"/>
      <c r="H5" s="130"/>
      <c r="I5" s="96" t="s">
        <v>14</v>
      </c>
      <c r="J5" s="97" t="s">
        <v>15</v>
      </c>
      <c r="K5" s="126"/>
      <c r="L5" s="136"/>
      <c r="M5" s="137"/>
      <c r="N5" s="95"/>
    </row>
    <row r="6" spans="1:14" s="48" customFormat="1" ht="60" customHeight="1">
      <c r="A6" s="98">
        <v>1</v>
      </c>
      <c r="B6" s="77" t="s">
        <v>102</v>
      </c>
      <c r="C6" s="72" t="s">
        <v>80</v>
      </c>
      <c r="D6" s="78" t="s">
        <v>229</v>
      </c>
      <c r="E6" s="89">
        <f>(F6+G6)/H6</f>
        <v>0.19751882550517363</v>
      </c>
      <c r="F6" s="70">
        <v>6207</v>
      </c>
      <c r="G6" s="70">
        <v>1085</v>
      </c>
      <c r="H6" s="70">
        <v>36918</v>
      </c>
      <c r="I6" s="70">
        <v>19064</v>
      </c>
      <c r="J6" s="70">
        <f t="shared" ref="J6:J40" si="0">H6-I6</f>
        <v>17854</v>
      </c>
      <c r="K6" s="68" t="s">
        <v>370</v>
      </c>
      <c r="L6" s="68" t="s">
        <v>52</v>
      </c>
      <c r="M6" s="92">
        <v>1263</v>
      </c>
      <c r="N6" s="99"/>
    </row>
    <row r="7" spans="1:14" s="48" customFormat="1" ht="60" customHeight="1">
      <c r="A7" s="98">
        <v>2</v>
      </c>
      <c r="B7" s="77" t="s">
        <v>102</v>
      </c>
      <c r="C7" s="72" t="s">
        <v>81</v>
      </c>
      <c r="D7" s="78" t="s">
        <v>327</v>
      </c>
      <c r="E7" s="89">
        <f>(F7+G7)/H7</f>
        <v>0.4058830908178625</v>
      </c>
      <c r="F7" s="69">
        <v>31747</v>
      </c>
      <c r="G7" s="69">
        <v>610</v>
      </c>
      <c r="H7" s="69">
        <v>79720</v>
      </c>
      <c r="I7" s="69">
        <v>30328</v>
      </c>
      <c r="J7" s="70">
        <f t="shared" si="0"/>
        <v>49392</v>
      </c>
      <c r="K7" s="68" t="s">
        <v>423</v>
      </c>
      <c r="L7" s="68" t="s">
        <v>344</v>
      </c>
      <c r="M7" s="92">
        <v>24370</v>
      </c>
      <c r="N7" s="99"/>
    </row>
    <row r="8" spans="1:14" s="48" customFormat="1" ht="60" customHeight="1">
      <c r="A8" s="98">
        <v>3</v>
      </c>
      <c r="B8" s="77" t="s">
        <v>100</v>
      </c>
      <c r="C8" s="72" t="s">
        <v>246</v>
      </c>
      <c r="D8" s="78" t="s">
        <v>327</v>
      </c>
      <c r="E8" s="89">
        <f t="shared" ref="E8:E60" si="1">(F8+G8)/H8</f>
        <v>0.28457694870086608</v>
      </c>
      <c r="F8" s="69">
        <v>7911</v>
      </c>
      <c r="G8" s="69">
        <v>632</v>
      </c>
      <c r="H8" s="69">
        <v>30020</v>
      </c>
      <c r="I8" s="69">
        <v>16349</v>
      </c>
      <c r="J8" s="70">
        <f t="shared" si="0"/>
        <v>13671</v>
      </c>
      <c r="K8" s="68" t="s">
        <v>33</v>
      </c>
      <c r="L8" s="68" t="s">
        <v>345</v>
      </c>
      <c r="M8" s="92">
        <v>3186</v>
      </c>
      <c r="N8" s="99"/>
    </row>
    <row r="9" spans="1:14" s="48" customFormat="1" ht="60" customHeight="1">
      <c r="A9" s="98">
        <v>4</v>
      </c>
      <c r="B9" s="77" t="s">
        <v>100</v>
      </c>
      <c r="C9" s="72" t="s">
        <v>125</v>
      </c>
      <c r="D9" s="78" t="s">
        <v>230</v>
      </c>
      <c r="E9" s="89">
        <f t="shared" si="1"/>
        <v>0</v>
      </c>
      <c r="F9" s="70">
        <v>0</v>
      </c>
      <c r="G9" s="70">
        <v>0</v>
      </c>
      <c r="H9" s="70">
        <v>8826</v>
      </c>
      <c r="I9" s="70">
        <v>5516</v>
      </c>
      <c r="J9" s="70">
        <f t="shared" si="0"/>
        <v>3310</v>
      </c>
      <c r="K9" s="80" t="s">
        <v>18</v>
      </c>
      <c r="L9" s="80" t="s">
        <v>326</v>
      </c>
      <c r="M9" s="92" t="s">
        <v>109</v>
      </c>
      <c r="N9" s="100"/>
    </row>
    <row r="10" spans="1:14" s="48" customFormat="1" ht="90" customHeight="1">
      <c r="A10" s="98">
        <v>5</v>
      </c>
      <c r="B10" s="77" t="s">
        <v>295</v>
      </c>
      <c r="C10" s="78" t="s">
        <v>240</v>
      </c>
      <c r="D10" s="72" t="s">
        <v>372</v>
      </c>
      <c r="E10" s="89">
        <f t="shared" si="1"/>
        <v>0.10994022988505747</v>
      </c>
      <c r="F10" s="70">
        <v>5966</v>
      </c>
      <c r="G10" s="70">
        <v>12</v>
      </c>
      <c r="H10" s="70">
        <v>54375</v>
      </c>
      <c r="I10" s="70">
        <v>10357</v>
      </c>
      <c r="J10" s="70">
        <f t="shared" si="0"/>
        <v>44018</v>
      </c>
      <c r="K10" s="68" t="s">
        <v>407</v>
      </c>
      <c r="L10" s="68" t="s">
        <v>371</v>
      </c>
      <c r="M10" s="92">
        <v>8657</v>
      </c>
      <c r="N10" s="99"/>
    </row>
    <row r="11" spans="1:14" s="48" customFormat="1" ht="90" customHeight="1">
      <c r="A11" s="98">
        <v>6</v>
      </c>
      <c r="B11" s="77" t="s">
        <v>102</v>
      </c>
      <c r="C11" s="72" t="s">
        <v>188</v>
      </c>
      <c r="D11" s="78" t="s">
        <v>230</v>
      </c>
      <c r="E11" s="89">
        <f t="shared" si="1"/>
        <v>9.059379525878497E-2</v>
      </c>
      <c r="F11" s="70">
        <v>2189</v>
      </c>
      <c r="G11" s="70">
        <v>188</v>
      </c>
      <c r="H11" s="70">
        <v>26238</v>
      </c>
      <c r="I11" s="70">
        <v>16066</v>
      </c>
      <c r="J11" s="70">
        <f t="shared" si="0"/>
        <v>10172</v>
      </c>
      <c r="K11" s="68" t="s">
        <v>377</v>
      </c>
      <c r="L11" s="68" t="s">
        <v>51</v>
      </c>
      <c r="M11" s="92">
        <v>55</v>
      </c>
      <c r="N11" s="99"/>
    </row>
    <row r="12" spans="1:14" s="48" customFormat="1" ht="60" customHeight="1">
      <c r="A12" s="98">
        <v>7</v>
      </c>
      <c r="B12" s="77" t="s">
        <v>102</v>
      </c>
      <c r="C12" s="72" t="s">
        <v>239</v>
      </c>
      <c r="D12" s="78" t="s">
        <v>230</v>
      </c>
      <c r="E12" s="89">
        <f t="shared" si="1"/>
        <v>0</v>
      </c>
      <c r="F12" s="70">
        <v>0</v>
      </c>
      <c r="G12" s="70">
        <v>0</v>
      </c>
      <c r="H12" s="70">
        <v>8910</v>
      </c>
      <c r="I12" s="70">
        <v>4706</v>
      </c>
      <c r="J12" s="70">
        <f t="shared" si="0"/>
        <v>4204</v>
      </c>
      <c r="K12" s="80" t="s">
        <v>18</v>
      </c>
      <c r="L12" s="80" t="s">
        <v>326</v>
      </c>
      <c r="M12" s="92">
        <v>312</v>
      </c>
      <c r="N12" s="100"/>
    </row>
    <row r="13" spans="1:14" s="48" customFormat="1" ht="60" customHeight="1">
      <c r="A13" s="98">
        <v>8</v>
      </c>
      <c r="B13" s="77" t="s">
        <v>102</v>
      </c>
      <c r="C13" s="72" t="s">
        <v>325</v>
      </c>
      <c r="D13" s="78" t="s">
        <v>230</v>
      </c>
      <c r="E13" s="89">
        <f t="shared" si="1"/>
        <v>0</v>
      </c>
      <c r="F13" s="70">
        <v>0</v>
      </c>
      <c r="G13" s="70">
        <v>0</v>
      </c>
      <c r="H13" s="70">
        <v>8569</v>
      </c>
      <c r="I13" s="70">
        <v>4395</v>
      </c>
      <c r="J13" s="70">
        <f t="shared" si="0"/>
        <v>4174</v>
      </c>
      <c r="K13" s="80" t="s">
        <v>18</v>
      </c>
      <c r="L13" s="80" t="s">
        <v>326</v>
      </c>
      <c r="M13" s="92" t="s">
        <v>109</v>
      </c>
      <c r="N13" s="100"/>
    </row>
    <row r="14" spans="1:14" s="48" customFormat="1" ht="90" customHeight="1">
      <c r="A14" s="98">
        <v>9</v>
      </c>
      <c r="B14" s="77" t="s">
        <v>102</v>
      </c>
      <c r="C14" s="72" t="s">
        <v>82</v>
      </c>
      <c r="D14" s="78" t="s">
        <v>327</v>
      </c>
      <c r="E14" s="89">
        <f t="shared" si="1"/>
        <v>0.26273237457356008</v>
      </c>
      <c r="F14" s="69">
        <v>132404</v>
      </c>
      <c r="G14" s="69">
        <v>12304</v>
      </c>
      <c r="H14" s="69">
        <v>550781</v>
      </c>
      <c r="I14" s="69">
        <v>244632</v>
      </c>
      <c r="J14" s="69">
        <f t="shared" si="0"/>
        <v>306149</v>
      </c>
      <c r="K14" s="68" t="s">
        <v>408</v>
      </c>
      <c r="L14" s="68" t="s">
        <v>346</v>
      </c>
      <c r="M14" s="92">
        <v>61266</v>
      </c>
      <c r="N14" s="99"/>
    </row>
    <row r="15" spans="1:14" s="48" customFormat="1" ht="60" customHeight="1">
      <c r="A15" s="98">
        <v>10</v>
      </c>
      <c r="B15" s="77" t="s">
        <v>102</v>
      </c>
      <c r="C15" s="72" t="s">
        <v>389</v>
      </c>
      <c r="D15" s="72" t="s">
        <v>328</v>
      </c>
      <c r="E15" s="89">
        <f t="shared" si="1"/>
        <v>0.27632560957406643</v>
      </c>
      <c r="F15" s="69">
        <v>26689</v>
      </c>
      <c r="G15" s="69">
        <v>4782</v>
      </c>
      <c r="H15" s="69">
        <v>113891</v>
      </c>
      <c r="I15" s="69">
        <v>45862</v>
      </c>
      <c r="J15" s="69">
        <f t="shared" si="0"/>
        <v>68029</v>
      </c>
      <c r="K15" s="79" t="s">
        <v>376</v>
      </c>
      <c r="L15" s="79" t="s">
        <v>49</v>
      </c>
      <c r="M15" s="92">
        <v>43256</v>
      </c>
      <c r="N15" s="101"/>
    </row>
    <row r="16" spans="1:14" s="48" customFormat="1" ht="60" customHeight="1">
      <c r="A16" s="98">
        <v>11</v>
      </c>
      <c r="B16" s="77" t="s">
        <v>102</v>
      </c>
      <c r="C16" s="78" t="s">
        <v>390</v>
      </c>
      <c r="D16" s="72" t="s">
        <v>231</v>
      </c>
      <c r="E16" s="89">
        <f t="shared" si="1"/>
        <v>0.72170010093981829</v>
      </c>
      <c r="F16" s="70">
        <v>70115</v>
      </c>
      <c r="G16" s="70">
        <v>3528</v>
      </c>
      <c r="H16" s="70">
        <v>102041</v>
      </c>
      <c r="I16" s="70">
        <v>66049</v>
      </c>
      <c r="J16" s="70">
        <f t="shared" si="0"/>
        <v>35992</v>
      </c>
      <c r="K16" s="68" t="s">
        <v>388</v>
      </c>
      <c r="L16" s="68" t="s">
        <v>347</v>
      </c>
      <c r="M16" s="92">
        <v>16848</v>
      </c>
      <c r="N16" s="99"/>
    </row>
    <row r="17" spans="1:14" s="48" customFormat="1" ht="90" customHeight="1">
      <c r="A17" s="98">
        <v>12</v>
      </c>
      <c r="B17" s="77" t="s">
        <v>94</v>
      </c>
      <c r="C17" s="72" t="s">
        <v>368</v>
      </c>
      <c r="D17" s="78" t="s">
        <v>329</v>
      </c>
      <c r="E17" s="89">
        <f t="shared" si="1"/>
        <v>8.7982441377762816E-2</v>
      </c>
      <c r="F17" s="70">
        <v>8900</v>
      </c>
      <c r="G17" s="70">
        <v>3647</v>
      </c>
      <c r="H17" s="70">
        <v>142608</v>
      </c>
      <c r="I17" s="70">
        <v>40355</v>
      </c>
      <c r="J17" s="70">
        <f t="shared" si="0"/>
        <v>102253</v>
      </c>
      <c r="K17" s="68" t="s">
        <v>419</v>
      </c>
      <c r="L17" s="68" t="s">
        <v>201</v>
      </c>
      <c r="M17" s="92">
        <v>9338</v>
      </c>
      <c r="N17" s="99"/>
    </row>
    <row r="18" spans="1:14" s="48" customFormat="1" ht="90" customHeight="1">
      <c r="A18" s="98">
        <v>13</v>
      </c>
      <c r="B18" s="77" t="s">
        <v>94</v>
      </c>
      <c r="C18" s="72" t="s">
        <v>323</v>
      </c>
      <c r="D18" s="78" t="s">
        <v>369</v>
      </c>
      <c r="E18" s="89">
        <f t="shared" si="1"/>
        <v>7.8927221398153016E-2</v>
      </c>
      <c r="F18" s="70">
        <v>3222</v>
      </c>
      <c r="G18" s="70">
        <v>77</v>
      </c>
      <c r="H18" s="70">
        <v>41798</v>
      </c>
      <c r="I18" s="70">
        <v>21669</v>
      </c>
      <c r="J18" s="73">
        <f t="shared" si="0"/>
        <v>20129</v>
      </c>
      <c r="K18" s="68" t="s">
        <v>410</v>
      </c>
      <c r="L18" s="68" t="s">
        <v>348</v>
      </c>
      <c r="M18" s="92">
        <v>1946</v>
      </c>
      <c r="N18" s="99"/>
    </row>
    <row r="19" spans="1:14" s="48" customFormat="1" ht="60" customHeight="1">
      <c r="A19" s="98">
        <v>14</v>
      </c>
      <c r="B19" s="77" t="s">
        <v>94</v>
      </c>
      <c r="C19" s="72" t="s">
        <v>190</v>
      </c>
      <c r="D19" s="78" t="s">
        <v>233</v>
      </c>
      <c r="E19" s="89">
        <f t="shared" si="1"/>
        <v>0.21492763467265794</v>
      </c>
      <c r="F19" s="70">
        <v>7532</v>
      </c>
      <c r="G19" s="70">
        <v>695</v>
      </c>
      <c r="H19" s="70">
        <v>38278</v>
      </c>
      <c r="I19" s="70">
        <v>20533</v>
      </c>
      <c r="J19" s="73">
        <f t="shared" si="0"/>
        <v>17745</v>
      </c>
      <c r="K19" s="68" t="s">
        <v>58</v>
      </c>
      <c r="L19" s="68" t="s">
        <v>348</v>
      </c>
      <c r="M19" s="92">
        <v>4528</v>
      </c>
      <c r="N19" s="99"/>
    </row>
    <row r="20" spans="1:14" s="48" customFormat="1" ht="60" customHeight="1">
      <c r="A20" s="98">
        <v>15</v>
      </c>
      <c r="B20" s="77" t="s">
        <v>94</v>
      </c>
      <c r="C20" s="72" t="s">
        <v>191</v>
      </c>
      <c r="D20" s="78" t="s">
        <v>43</v>
      </c>
      <c r="E20" s="89">
        <f t="shared" si="1"/>
        <v>0.11932913507261278</v>
      </c>
      <c r="F20" s="70">
        <v>3714</v>
      </c>
      <c r="G20" s="70">
        <v>0</v>
      </c>
      <c r="H20" s="70">
        <v>31124</v>
      </c>
      <c r="I20" s="70">
        <v>13997</v>
      </c>
      <c r="J20" s="70">
        <f t="shared" si="0"/>
        <v>17127</v>
      </c>
      <c r="K20" s="68" t="s">
        <v>23</v>
      </c>
      <c r="L20" s="68" t="s">
        <v>326</v>
      </c>
      <c r="M20" s="92">
        <v>1499</v>
      </c>
      <c r="N20" s="99"/>
    </row>
    <row r="21" spans="1:14" s="48" customFormat="1" ht="60" customHeight="1">
      <c r="A21" s="98">
        <v>16</v>
      </c>
      <c r="B21" s="77" t="s">
        <v>94</v>
      </c>
      <c r="C21" s="72" t="s">
        <v>192</v>
      </c>
      <c r="D21" s="72" t="s">
        <v>330</v>
      </c>
      <c r="E21" s="89">
        <f t="shared" si="1"/>
        <v>4.9972787786600428E-2</v>
      </c>
      <c r="F21" s="70">
        <v>4574</v>
      </c>
      <c r="G21" s="70">
        <v>2588</v>
      </c>
      <c r="H21" s="70">
        <v>143318</v>
      </c>
      <c r="I21" s="70">
        <v>70246</v>
      </c>
      <c r="J21" s="70">
        <f t="shared" si="0"/>
        <v>73072</v>
      </c>
      <c r="K21" s="68" t="s">
        <v>411</v>
      </c>
      <c r="L21" s="68" t="s">
        <v>348</v>
      </c>
      <c r="M21" s="92">
        <v>1315</v>
      </c>
      <c r="N21" s="99"/>
    </row>
    <row r="22" spans="1:14" s="48" customFormat="1" ht="90" customHeight="1">
      <c r="A22" s="98">
        <v>17</v>
      </c>
      <c r="B22" s="77" t="s">
        <v>94</v>
      </c>
      <c r="C22" s="72" t="s">
        <v>193</v>
      </c>
      <c r="D22" s="72" t="s">
        <v>331</v>
      </c>
      <c r="E22" s="89">
        <f t="shared" si="1"/>
        <v>5.5630748244221116E-3</v>
      </c>
      <c r="F22" s="74">
        <v>749</v>
      </c>
      <c r="G22" s="74">
        <v>295</v>
      </c>
      <c r="H22" s="74">
        <v>187666</v>
      </c>
      <c r="I22" s="74">
        <v>80882</v>
      </c>
      <c r="J22" s="90">
        <f t="shared" si="0"/>
        <v>106784</v>
      </c>
      <c r="K22" s="81" t="s">
        <v>412</v>
      </c>
      <c r="L22" s="68" t="s">
        <v>348</v>
      </c>
      <c r="M22" s="92">
        <v>3187</v>
      </c>
      <c r="N22" s="99"/>
    </row>
    <row r="23" spans="1:14" s="48" customFormat="1" ht="90" customHeight="1">
      <c r="A23" s="98">
        <v>18</v>
      </c>
      <c r="B23" s="77" t="s">
        <v>94</v>
      </c>
      <c r="C23" s="72" t="s">
        <v>194</v>
      </c>
      <c r="D23" s="72" t="s">
        <v>331</v>
      </c>
      <c r="E23" s="89">
        <f t="shared" si="1"/>
        <v>2.5275631890797269E-2</v>
      </c>
      <c r="F23" s="70">
        <v>2748</v>
      </c>
      <c r="G23" s="70">
        <v>1970</v>
      </c>
      <c r="H23" s="70">
        <v>186662</v>
      </c>
      <c r="I23" s="70">
        <v>17545</v>
      </c>
      <c r="J23" s="70">
        <f t="shared" si="0"/>
        <v>169117</v>
      </c>
      <c r="K23" s="68" t="s">
        <v>409</v>
      </c>
      <c r="L23" s="68" t="s">
        <v>348</v>
      </c>
      <c r="M23" s="92">
        <v>1584</v>
      </c>
      <c r="N23" s="99"/>
    </row>
    <row r="24" spans="1:14" s="48" customFormat="1" ht="90" customHeight="1">
      <c r="A24" s="98">
        <v>19</v>
      </c>
      <c r="B24" s="77" t="s">
        <v>94</v>
      </c>
      <c r="C24" s="72" t="s">
        <v>304</v>
      </c>
      <c r="D24" s="78" t="s">
        <v>332</v>
      </c>
      <c r="E24" s="89">
        <f t="shared" si="1"/>
        <v>0.20104319901991266</v>
      </c>
      <c r="F24" s="70">
        <v>8115</v>
      </c>
      <c r="G24" s="70">
        <v>35208</v>
      </c>
      <c r="H24" s="70">
        <v>215491</v>
      </c>
      <c r="I24" s="70">
        <v>82701</v>
      </c>
      <c r="J24" s="70">
        <f t="shared" si="0"/>
        <v>132790</v>
      </c>
      <c r="K24" s="68" t="s">
        <v>349</v>
      </c>
      <c r="L24" s="68" t="s">
        <v>46</v>
      </c>
      <c r="M24" s="92">
        <v>67207</v>
      </c>
      <c r="N24" s="99"/>
    </row>
    <row r="25" spans="1:14" s="48" customFormat="1" ht="90" customHeight="1">
      <c r="A25" s="98">
        <v>20</v>
      </c>
      <c r="B25" s="77" t="s">
        <v>94</v>
      </c>
      <c r="C25" s="72" t="s">
        <v>196</v>
      </c>
      <c r="D25" s="78" t="s">
        <v>333</v>
      </c>
      <c r="E25" s="89">
        <f t="shared" si="1"/>
        <v>0.26976649146904907</v>
      </c>
      <c r="F25" s="70">
        <v>40809</v>
      </c>
      <c r="G25" s="70">
        <v>6719</v>
      </c>
      <c r="H25" s="70">
        <v>176182</v>
      </c>
      <c r="I25" s="70">
        <v>48446</v>
      </c>
      <c r="J25" s="70">
        <f t="shared" si="0"/>
        <v>127736</v>
      </c>
      <c r="K25" s="68" t="s">
        <v>413</v>
      </c>
      <c r="L25" s="68" t="s">
        <v>47</v>
      </c>
      <c r="M25" s="92">
        <v>49702</v>
      </c>
      <c r="N25" s="99"/>
    </row>
    <row r="26" spans="1:14" s="48" customFormat="1" ht="90" customHeight="1">
      <c r="A26" s="98">
        <v>21</v>
      </c>
      <c r="B26" s="77" t="s">
        <v>94</v>
      </c>
      <c r="C26" s="72" t="s">
        <v>378</v>
      </c>
      <c r="D26" s="78" t="s">
        <v>334</v>
      </c>
      <c r="E26" s="89">
        <f t="shared" si="1"/>
        <v>0.24686681631126076</v>
      </c>
      <c r="F26" s="70">
        <v>67941</v>
      </c>
      <c r="G26" s="70">
        <v>79871</v>
      </c>
      <c r="H26" s="70">
        <v>598752</v>
      </c>
      <c r="I26" s="70">
        <v>204010</v>
      </c>
      <c r="J26" s="70">
        <f t="shared" si="0"/>
        <v>394742</v>
      </c>
      <c r="K26" s="68" t="s">
        <v>414</v>
      </c>
      <c r="L26" s="68" t="s">
        <v>41</v>
      </c>
      <c r="M26" s="92">
        <v>20428</v>
      </c>
      <c r="N26" s="99"/>
    </row>
    <row r="27" spans="1:14" s="48" customFormat="1" ht="180" customHeight="1">
      <c r="A27" s="98">
        <v>22</v>
      </c>
      <c r="B27" s="77" t="s">
        <v>101</v>
      </c>
      <c r="C27" s="78" t="s">
        <v>313</v>
      </c>
      <c r="D27" s="72" t="s">
        <v>335</v>
      </c>
      <c r="E27" s="89">
        <f t="shared" si="1"/>
        <v>0.40174448435094923</v>
      </c>
      <c r="F27" s="70">
        <v>1113</v>
      </c>
      <c r="G27" s="70">
        <v>453</v>
      </c>
      <c r="H27" s="70">
        <v>3898</v>
      </c>
      <c r="I27" s="70">
        <v>956</v>
      </c>
      <c r="J27" s="70">
        <f t="shared" si="0"/>
        <v>2942</v>
      </c>
      <c r="K27" s="68" t="s">
        <v>305</v>
      </c>
      <c r="L27" s="68" t="s">
        <v>211</v>
      </c>
      <c r="M27" s="92">
        <v>386</v>
      </c>
      <c r="N27" s="99"/>
    </row>
    <row r="28" spans="1:14" s="48" customFormat="1" ht="90" customHeight="1">
      <c r="A28" s="98">
        <v>23</v>
      </c>
      <c r="B28" s="77" t="s">
        <v>101</v>
      </c>
      <c r="C28" s="78" t="s">
        <v>316</v>
      </c>
      <c r="D28" s="72" t="s">
        <v>336</v>
      </c>
      <c r="E28" s="89">
        <f t="shared" si="1"/>
        <v>0.24329008876516625</v>
      </c>
      <c r="F28" s="70">
        <v>31210</v>
      </c>
      <c r="G28" s="70">
        <v>1214</v>
      </c>
      <c r="H28" s="70">
        <v>133273</v>
      </c>
      <c r="I28" s="70">
        <v>46560</v>
      </c>
      <c r="J28" s="70">
        <f t="shared" si="0"/>
        <v>86713</v>
      </c>
      <c r="K28" s="68" t="s">
        <v>131</v>
      </c>
      <c r="L28" s="68" t="s">
        <v>212</v>
      </c>
      <c r="M28" s="92">
        <v>16216</v>
      </c>
      <c r="N28" s="99"/>
    </row>
    <row r="29" spans="1:14" s="48" customFormat="1" ht="90" customHeight="1">
      <c r="A29" s="98">
        <v>24</v>
      </c>
      <c r="B29" s="77" t="s">
        <v>97</v>
      </c>
      <c r="C29" s="78" t="s">
        <v>3</v>
      </c>
      <c r="D29" s="78" t="s">
        <v>122</v>
      </c>
      <c r="E29" s="89">
        <f t="shared" si="1"/>
        <v>3.5008672843423447E-2</v>
      </c>
      <c r="F29" s="70">
        <v>807</v>
      </c>
      <c r="G29" s="70">
        <v>848</v>
      </c>
      <c r="H29" s="70">
        <v>47274</v>
      </c>
      <c r="I29" s="70">
        <v>20191</v>
      </c>
      <c r="J29" s="70">
        <f t="shared" si="0"/>
        <v>27083</v>
      </c>
      <c r="K29" s="68" t="s">
        <v>213</v>
      </c>
      <c r="L29" s="68" t="s">
        <v>214</v>
      </c>
      <c r="M29" s="92">
        <v>457</v>
      </c>
      <c r="N29" s="99"/>
    </row>
    <row r="30" spans="1:14" s="48" customFormat="1" ht="60" customHeight="1">
      <c r="A30" s="98">
        <v>25</v>
      </c>
      <c r="B30" s="77" t="s">
        <v>97</v>
      </c>
      <c r="C30" s="78" t="s">
        <v>4</v>
      </c>
      <c r="D30" s="78" t="s">
        <v>337</v>
      </c>
      <c r="E30" s="89">
        <f t="shared" si="1"/>
        <v>1.5292642242271493E-2</v>
      </c>
      <c r="F30" s="70">
        <v>1256</v>
      </c>
      <c r="G30" s="70">
        <v>0</v>
      </c>
      <c r="H30" s="70">
        <v>82131</v>
      </c>
      <c r="I30" s="70">
        <v>34290</v>
      </c>
      <c r="J30" s="70">
        <f t="shared" si="0"/>
        <v>47841</v>
      </c>
      <c r="K30" s="68" t="s">
        <v>107</v>
      </c>
      <c r="L30" s="68" t="s">
        <v>217</v>
      </c>
      <c r="M30" s="92">
        <v>2267</v>
      </c>
      <c r="N30" s="99"/>
    </row>
    <row r="31" spans="1:14" s="48" customFormat="1" ht="90" customHeight="1">
      <c r="A31" s="98">
        <v>26</v>
      </c>
      <c r="B31" s="77" t="s">
        <v>97</v>
      </c>
      <c r="C31" s="78" t="s">
        <v>5</v>
      </c>
      <c r="D31" s="78" t="s">
        <v>338</v>
      </c>
      <c r="E31" s="89">
        <f t="shared" si="1"/>
        <v>4.7880215343203233E-2</v>
      </c>
      <c r="F31" s="70">
        <v>1423</v>
      </c>
      <c r="G31" s="70">
        <v>0</v>
      </c>
      <c r="H31" s="70">
        <v>29720</v>
      </c>
      <c r="I31" s="70">
        <v>18909</v>
      </c>
      <c r="J31" s="70">
        <f t="shared" si="0"/>
        <v>10811</v>
      </c>
      <c r="K31" s="68" t="s">
        <v>393</v>
      </c>
      <c r="L31" s="68" t="s">
        <v>326</v>
      </c>
      <c r="M31" s="92">
        <v>14</v>
      </c>
      <c r="N31" s="99"/>
    </row>
    <row r="32" spans="1:14" s="48" customFormat="1" ht="60" customHeight="1">
      <c r="A32" s="98">
        <v>27</v>
      </c>
      <c r="B32" s="77" t="s">
        <v>97</v>
      </c>
      <c r="C32" s="72" t="s">
        <v>6</v>
      </c>
      <c r="D32" s="78" t="s">
        <v>219</v>
      </c>
      <c r="E32" s="89">
        <f t="shared" si="1"/>
        <v>9.3874232020238521E-2</v>
      </c>
      <c r="F32" s="70">
        <v>28993</v>
      </c>
      <c r="G32" s="70">
        <v>5294</v>
      </c>
      <c r="H32" s="70">
        <v>365244</v>
      </c>
      <c r="I32" s="70">
        <v>161116</v>
      </c>
      <c r="J32" s="70">
        <f t="shared" si="0"/>
        <v>204128</v>
      </c>
      <c r="K32" s="68" t="s">
        <v>25</v>
      </c>
      <c r="L32" s="68" t="s">
        <v>39</v>
      </c>
      <c r="M32" s="92">
        <v>117861</v>
      </c>
      <c r="N32" s="99"/>
    </row>
    <row r="33" spans="1:14" s="48" customFormat="1" ht="90" customHeight="1">
      <c r="A33" s="98">
        <v>28</v>
      </c>
      <c r="B33" s="77" t="s">
        <v>93</v>
      </c>
      <c r="C33" s="72" t="s">
        <v>309</v>
      </c>
      <c r="D33" s="78" t="s">
        <v>356</v>
      </c>
      <c r="E33" s="89">
        <f t="shared" si="1"/>
        <v>0</v>
      </c>
      <c r="F33" s="70">
        <v>0</v>
      </c>
      <c r="G33" s="70">
        <v>0</v>
      </c>
      <c r="H33" s="70">
        <v>16247</v>
      </c>
      <c r="I33" s="70">
        <v>9612</v>
      </c>
      <c r="J33" s="70">
        <f t="shared" si="0"/>
        <v>6635</v>
      </c>
      <c r="K33" s="68" t="s">
        <v>298</v>
      </c>
      <c r="L33" s="68" t="s">
        <v>326</v>
      </c>
      <c r="M33" s="92" t="s">
        <v>109</v>
      </c>
      <c r="N33" s="99"/>
    </row>
    <row r="34" spans="1:14" s="48" customFormat="1" ht="60" customHeight="1">
      <c r="A34" s="98">
        <v>29</v>
      </c>
      <c r="B34" s="77" t="s">
        <v>93</v>
      </c>
      <c r="C34" s="72" t="s">
        <v>72</v>
      </c>
      <c r="D34" s="78" t="s">
        <v>415</v>
      </c>
      <c r="E34" s="89">
        <f t="shared" si="1"/>
        <v>0</v>
      </c>
      <c r="F34" s="70">
        <v>0</v>
      </c>
      <c r="G34" s="70">
        <v>0</v>
      </c>
      <c r="H34" s="70">
        <v>62839</v>
      </c>
      <c r="I34" s="70">
        <v>29786</v>
      </c>
      <c r="J34" s="70">
        <f t="shared" si="0"/>
        <v>33053</v>
      </c>
      <c r="K34" s="80" t="s">
        <v>18</v>
      </c>
      <c r="L34" s="80" t="s">
        <v>326</v>
      </c>
      <c r="M34" s="92" t="s">
        <v>109</v>
      </c>
      <c r="N34" s="100"/>
    </row>
    <row r="35" spans="1:14" s="48" customFormat="1" ht="90" customHeight="1">
      <c r="A35" s="98">
        <v>30</v>
      </c>
      <c r="B35" s="77" t="s">
        <v>93</v>
      </c>
      <c r="C35" s="72" t="s">
        <v>322</v>
      </c>
      <c r="D35" s="78" t="s">
        <v>357</v>
      </c>
      <c r="E35" s="89">
        <f t="shared" si="1"/>
        <v>0.49288333099808512</v>
      </c>
      <c r="F35" s="70">
        <v>80220</v>
      </c>
      <c r="G35" s="70">
        <v>4205</v>
      </c>
      <c r="H35" s="70">
        <v>171288</v>
      </c>
      <c r="I35" s="70">
        <v>51920</v>
      </c>
      <c r="J35" s="70">
        <f t="shared" si="0"/>
        <v>119368</v>
      </c>
      <c r="K35" s="68" t="s">
        <v>108</v>
      </c>
      <c r="L35" s="68" t="s">
        <v>350</v>
      </c>
      <c r="M35" s="92">
        <v>77009</v>
      </c>
      <c r="N35" s="99"/>
    </row>
    <row r="36" spans="1:14" s="48" customFormat="1" ht="90" customHeight="1">
      <c r="A36" s="98">
        <v>31</v>
      </c>
      <c r="B36" s="77" t="s">
        <v>93</v>
      </c>
      <c r="C36" s="72" t="s">
        <v>320</v>
      </c>
      <c r="D36" s="78" t="s">
        <v>358</v>
      </c>
      <c r="E36" s="89">
        <f t="shared" si="1"/>
        <v>3.7947409158421021E-2</v>
      </c>
      <c r="F36" s="75">
        <v>3628</v>
      </c>
      <c r="G36" s="75">
        <v>0</v>
      </c>
      <c r="H36" s="75">
        <v>95606</v>
      </c>
      <c r="I36" s="75">
        <v>40991</v>
      </c>
      <c r="J36" s="75">
        <f t="shared" si="0"/>
        <v>54615</v>
      </c>
      <c r="K36" s="68" t="s">
        <v>20</v>
      </c>
      <c r="L36" s="68" t="s">
        <v>326</v>
      </c>
      <c r="M36" s="92">
        <v>17699</v>
      </c>
      <c r="N36" s="99"/>
    </row>
    <row r="37" spans="1:14" s="48" customFormat="1" ht="120" customHeight="1">
      <c r="A37" s="98">
        <v>32</v>
      </c>
      <c r="B37" s="77" t="s">
        <v>93</v>
      </c>
      <c r="C37" s="72" t="s">
        <v>242</v>
      </c>
      <c r="D37" s="78" t="s">
        <v>359</v>
      </c>
      <c r="E37" s="89">
        <f t="shared" si="1"/>
        <v>0.1509840830449827</v>
      </c>
      <c r="F37" s="70">
        <v>23526</v>
      </c>
      <c r="G37" s="70">
        <v>31017</v>
      </c>
      <c r="H37" s="73">
        <v>361250</v>
      </c>
      <c r="I37" s="73">
        <v>159458</v>
      </c>
      <c r="J37" s="70">
        <f t="shared" si="0"/>
        <v>201792</v>
      </c>
      <c r="K37" s="68" t="s">
        <v>416</v>
      </c>
      <c r="L37" s="68" t="s">
        <v>421</v>
      </c>
      <c r="M37" s="92">
        <v>1852</v>
      </c>
      <c r="N37" s="99"/>
    </row>
    <row r="38" spans="1:14" s="48" customFormat="1" ht="90" customHeight="1">
      <c r="A38" s="98">
        <v>33</v>
      </c>
      <c r="B38" s="77" t="s">
        <v>93</v>
      </c>
      <c r="C38" s="78" t="s">
        <v>300</v>
      </c>
      <c r="D38" s="78" t="s">
        <v>360</v>
      </c>
      <c r="E38" s="89">
        <f t="shared" si="1"/>
        <v>4.4419228199895675E-2</v>
      </c>
      <c r="F38" s="70">
        <v>1549</v>
      </c>
      <c r="G38" s="70">
        <v>3305</v>
      </c>
      <c r="H38" s="70">
        <v>109277</v>
      </c>
      <c r="I38" s="70">
        <v>21011</v>
      </c>
      <c r="J38" s="70">
        <f t="shared" si="0"/>
        <v>88266</v>
      </c>
      <c r="K38" s="68" t="s">
        <v>351</v>
      </c>
      <c r="L38" s="68" t="s">
        <v>221</v>
      </c>
      <c r="M38" s="92" t="s">
        <v>109</v>
      </c>
      <c r="N38" s="99"/>
    </row>
    <row r="39" spans="1:14" s="48" customFormat="1" ht="60" customHeight="1">
      <c r="A39" s="98">
        <v>34</v>
      </c>
      <c r="B39" s="77" t="s">
        <v>93</v>
      </c>
      <c r="C39" s="72" t="s">
        <v>257</v>
      </c>
      <c r="D39" s="78" t="s">
        <v>361</v>
      </c>
      <c r="E39" s="89">
        <f t="shared" si="1"/>
        <v>0</v>
      </c>
      <c r="F39" s="70">
        <v>0</v>
      </c>
      <c r="G39" s="70">
        <v>0</v>
      </c>
      <c r="H39" s="70">
        <v>9328</v>
      </c>
      <c r="I39" s="70">
        <v>6382</v>
      </c>
      <c r="J39" s="70">
        <f t="shared" si="0"/>
        <v>2946</v>
      </c>
      <c r="K39" s="80" t="s">
        <v>18</v>
      </c>
      <c r="L39" s="80" t="s">
        <v>326</v>
      </c>
      <c r="M39" s="92" t="s">
        <v>109</v>
      </c>
      <c r="N39" s="100"/>
    </row>
    <row r="40" spans="1:14" s="48" customFormat="1" ht="60" customHeight="1">
      <c r="A40" s="98">
        <v>35</v>
      </c>
      <c r="B40" s="77" t="s">
        <v>93</v>
      </c>
      <c r="C40" s="78" t="s">
        <v>243</v>
      </c>
      <c r="D40" s="78" t="s">
        <v>362</v>
      </c>
      <c r="E40" s="89">
        <f t="shared" si="1"/>
        <v>0.11565499209343834</v>
      </c>
      <c r="F40" s="70">
        <v>29548</v>
      </c>
      <c r="G40" s="70">
        <v>0</v>
      </c>
      <c r="H40" s="70">
        <v>255484</v>
      </c>
      <c r="I40" s="70">
        <v>95208</v>
      </c>
      <c r="J40" s="70">
        <f t="shared" si="0"/>
        <v>160276</v>
      </c>
      <c r="K40" s="68" t="s">
        <v>222</v>
      </c>
      <c r="L40" s="68" t="s">
        <v>223</v>
      </c>
      <c r="M40" s="92">
        <v>23411</v>
      </c>
      <c r="N40" s="99"/>
    </row>
    <row r="41" spans="1:14" s="48" customFormat="1" ht="60" customHeight="1">
      <c r="A41" s="98">
        <v>36</v>
      </c>
      <c r="B41" s="77" t="s">
        <v>93</v>
      </c>
      <c r="C41" s="72" t="s">
        <v>74</v>
      </c>
      <c r="D41" s="72" t="s">
        <v>363</v>
      </c>
      <c r="E41" s="89">
        <f t="shared" si="1"/>
        <v>0.35057176906108167</v>
      </c>
      <c r="F41" s="70">
        <v>138262</v>
      </c>
      <c r="G41" s="70">
        <v>0</v>
      </c>
      <c r="H41" s="70">
        <v>394390</v>
      </c>
      <c r="I41" s="70">
        <v>31415</v>
      </c>
      <c r="J41" s="70">
        <f t="shared" ref="J41:J60" si="2">H41-I41</f>
        <v>362975</v>
      </c>
      <c r="K41" s="76" t="s">
        <v>418</v>
      </c>
      <c r="L41" s="76" t="s">
        <v>326</v>
      </c>
      <c r="M41" s="92" t="s">
        <v>109</v>
      </c>
      <c r="N41" s="102"/>
    </row>
    <row r="42" spans="1:14" s="48" customFormat="1" ht="60" customHeight="1">
      <c r="A42" s="98">
        <v>37</v>
      </c>
      <c r="B42" s="77" t="s">
        <v>93</v>
      </c>
      <c r="C42" s="72" t="s">
        <v>83</v>
      </c>
      <c r="D42" s="72" t="s">
        <v>364</v>
      </c>
      <c r="E42" s="89">
        <f t="shared" si="1"/>
        <v>0.30737908926189195</v>
      </c>
      <c r="F42" s="70">
        <v>30875</v>
      </c>
      <c r="G42" s="70">
        <v>0</v>
      </c>
      <c r="H42" s="70">
        <v>100446</v>
      </c>
      <c r="I42" s="70">
        <v>11401</v>
      </c>
      <c r="J42" s="70">
        <f t="shared" si="2"/>
        <v>89045</v>
      </c>
      <c r="K42" s="68" t="s">
        <v>61</v>
      </c>
      <c r="L42" s="68" t="s">
        <v>326</v>
      </c>
      <c r="M42" s="92" t="s">
        <v>109</v>
      </c>
      <c r="N42" s="99"/>
    </row>
    <row r="43" spans="1:14" s="48" customFormat="1" ht="90" customHeight="1">
      <c r="A43" s="98">
        <v>38</v>
      </c>
      <c r="B43" s="77" t="s">
        <v>93</v>
      </c>
      <c r="C43" s="78" t="s">
        <v>258</v>
      </c>
      <c r="D43" s="78" t="s">
        <v>339</v>
      </c>
      <c r="E43" s="89">
        <f t="shared" si="1"/>
        <v>0.23808560078574362</v>
      </c>
      <c r="F43" s="70">
        <v>285948</v>
      </c>
      <c r="G43" s="70">
        <v>2272</v>
      </c>
      <c r="H43" s="70">
        <v>1210573</v>
      </c>
      <c r="I43" s="70">
        <v>365589</v>
      </c>
      <c r="J43" s="70">
        <f t="shared" si="2"/>
        <v>844984</v>
      </c>
      <c r="K43" s="68" t="s">
        <v>417</v>
      </c>
      <c r="L43" s="68" t="s">
        <v>326</v>
      </c>
      <c r="M43" s="92">
        <v>187078</v>
      </c>
      <c r="N43" s="99"/>
    </row>
    <row r="44" spans="1:14" s="48" customFormat="1" ht="90" customHeight="1">
      <c r="A44" s="98">
        <v>39</v>
      </c>
      <c r="B44" s="77" t="s">
        <v>93</v>
      </c>
      <c r="C44" s="72" t="s">
        <v>144</v>
      </c>
      <c r="D44" s="72" t="s">
        <v>365</v>
      </c>
      <c r="E44" s="89">
        <f t="shared" si="1"/>
        <v>1.0350612148799248</v>
      </c>
      <c r="F44" s="70">
        <v>52527</v>
      </c>
      <c r="G44" s="70">
        <v>228</v>
      </c>
      <c r="H44" s="70">
        <v>50968</v>
      </c>
      <c r="I44" s="70">
        <v>16287</v>
      </c>
      <c r="J44" s="70">
        <f t="shared" si="2"/>
        <v>34681</v>
      </c>
      <c r="K44" s="68" t="s">
        <v>35</v>
      </c>
      <c r="L44" s="68" t="s">
        <v>45</v>
      </c>
      <c r="M44" s="92" t="s">
        <v>109</v>
      </c>
      <c r="N44" s="99"/>
    </row>
    <row r="45" spans="1:14" s="50" customFormat="1" ht="90" customHeight="1">
      <c r="A45" s="98">
        <v>40</v>
      </c>
      <c r="B45" s="77" t="s">
        <v>98</v>
      </c>
      <c r="C45" s="72" t="s">
        <v>7</v>
      </c>
      <c r="D45" s="78" t="s">
        <v>340</v>
      </c>
      <c r="E45" s="89">
        <f t="shared" si="1"/>
        <v>0.23540490444638559</v>
      </c>
      <c r="F45" s="70">
        <v>290402</v>
      </c>
      <c r="G45" s="70">
        <v>41074</v>
      </c>
      <c r="H45" s="70">
        <v>1408110</v>
      </c>
      <c r="I45" s="70">
        <v>511676</v>
      </c>
      <c r="J45" s="70">
        <f t="shared" si="2"/>
        <v>896434</v>
      </c>
      <c r="K45" s="80" t="s">
        <v>352</v>
      </c>
      <c r="L45" s="68" t="s">
        <v>422</v>
      </c>
      <c r="M45" s="92" t="s">
        <v>396</v>
      </c>
      <c r="N45" s="99"/>
    </row>
    <row r="46" spans="1:14" s="50" customFormat="1" ht="90" customHeight="1">
      <c r="A46" s="98">
        <v>41</v>
      </c>
      <c r="B46" s="77" t="s">
        <v>98</v>
      </c>
      <c r="C46" s="72" t="s">
        <v>8</v>
      </c>
      <c r="D46" s="78" t="s">
        <v>89</v>
      </c>
      <c r="E46" s="89">
        <f t="shared" si="1"/>
        <v>0.10048956008787863</v>
      </c>
      <c r="F46" s="70">
        <v>67772</v>
      </c>
      <c r="G46" s="70">
        <v>7745</v>
      </c>
      <c r="H46" s="70">
        <v>751491</v>
      </c>
      <c r="I46" s="70">
        <v>265905</v>
      </c>
      <c r="J46" s="70">
        <f t="shared" si="2"/>
        <v>485586</v>
      </c>
      <c r="K46" s="82" t="s">
        <v>317</v>
      </c>
      <c r="L46" s="68" t="s">
        <v>422</v>
      </c>
      <c r="M46" s="92" t="s">
        <v>109</v>
      </c>
      <c r="N46" s="99"/>
    </row>
    <row r="47" spans="1:14" s="50" customFormat="1" ht="90" customHeight="1">
      <c r="A47" s="98">
        <v>42</v>
      </c>
      <c r="B47" s="77" t="s">
        <v>98</v>
      </c>
      <c r="C47" s="72" t="s">
        <v>9</v>
      </c>
      <c r="D47" s="78" t="s">
        <v>89</v>
      </c>
      <c r="E47" s="89">
        <f t="shared" si="1"/>
        <v>0</v>
      </c>
      <c r="F47" s="70">
        <v>0</v>
      </c>
      <c r="G47" s="70">
        <v>0</v>
      </c>
      <c r="H47" s="70">
        <v>457777</v>
      </c>
      <c r="I47" s="70">
        <v>245169</v>
      </c>
      <c r="J47" s="70">
        <f t="shared" si="2"/>
        <v>212608</v>
      </c>
      <c r="K47" s="80" t="s">
        <v>18</v>
      </c>
      <c r="L47" s="80" t="s">
        <v>326</v>
      </c>
      <c r="M47" s="92" t="s">
        <v>109</v>
      </c>
      <c r="N47" s="100"/>
    </row>
    <row r="48" spans="1:14" s="48" customFormat="1" ht="90" customHeight="1">
      <c r="A48" s="98">
        <v>43</v>
      </c>
      <c r="B48" s="77" t="s">
        <v>98</v>
      </c>
      <c r="C48" s="72" t="s">
        <v>321</v>
      </c>
      <c r="D48" s="78" t="s">
        <v>341</v>
      </c>
      <c r="E48" s="89">
        <f t="shared" si="1"/>
        <v>0.37434863002185242</v>
      </c>
      <c r="F48" s="70">
        <v>2096</v>
      </c>
      <c r="G48" s="70">
        <v>131</v>
      </c>
      <c r="H48" s="70">
        <v>5949</v>
      </c>
      <c r="I48" s="70">
        <v>3802</v>
      </c>
      <c r="J48" s="70">
        <f t="shared" si="2"/>
        <v>2147</v>
      </c>
      <c r="K48" s="83" t="s">
        <v>26</v>
      </c>
      <c r="L48" s="76" t="s">
        <v>385</v>
      </c>
      <c r="M48" s="92" t="s">
        <v>395</v>
      </c>
      <c r="N48" s="102"/>
    </row>
    <row r="49" spans="1:14" s="48" customFormat="1" ht="90" customHeight="1">
      <c r="A49" s="98">
        <v>44</v>
      </c>
      <c r="B49" s="77" t="s">
        <v>98</v>
      </c>
      <c r="C49" s="72" t="s">
        <v>324</v>
      </c>
      <c r="D49" s="78" t="s">
        <v>341</v>
      </c>
      <c r="E49" s="89">
        <f t="shared" si="1"/>
        <v>0.1830904212892466</v>
      </c>
      <c r="F49" s="70">
        <v>2308</v>
      </c>
      <c r="G49" s="70">
        <v>217</v>
      </c>
      <c r="H49" s="70">
        <v>13791</v>
      </c>
      <c r="I49" s="70">
        <v>5202</v>
      </c>
      <c r="J49" s="70">
        <f>H49-I49</f>
        <v>8589</v>
      </c>
      <c r="K49" s="83" t="s">
        <v>26</v>
      </c>
      <c r="L49" s="76" t="s">
        <v>386</v>
      </c>
      <c r="M49" s="92" t="s">
        <v>394</v>
      </c>
      <c r="N49" s="102"/>
    </row>
    <row r="50" spans="1:14" s="48" customFormat="1" ht="90" customHeight="1">
      <c r="A50" s="98">
        <v>45</v>
      </c>
      <c r="B50" s="77" t="s">
        <v>98</v>
      </c>
      <c r="C50" s="72" t="s">
        <v>383</v>
      </c>
      <c r="D50" s="78" t="s">
        <v>341</v>
      </c>
      <c r="E50" s="89">
        <f t="shared" si="1"/>
        <v>0.37035524703960798</v>
      </c>
      <c r="F50" s="70">
        <v>2691</v>
      </c>
      <c r="G50" s="70">
        <v>30</v>
      </c>
      <c r="H50" s="70">
        <v>7347</v>
      </c>
      <c r="I50" s="70">
        <v>4958</v>
      </c>
      <c r="J50" s="70">
        <f>H50-I50</f>
        <v>2389</v>
      </c>
      <c r="K50" s="68" t="s">
        <v>205</v>
      </c>
      <c r="L50" s="76" t="s">
        <v>384</v>
      </c>
      <c r="M50" s="92" t="s">
        <v>109</v>
      </c>
      <c r="N50" s="102"/>
    </row>
    <row r="51" spans="1:14" s="48" customFormat="1" ht="90" customHeight="1">
      <c r="A51" s="98">
        <v>46</v>
      </c>
      <c r="B51" s="77" t="s">
        <v>98</v>
      </c>
      <c r="C51" s="72" t="s">
        <v>69</v>
      </c>
      <c r="D51" s="72" t="s">
        <v>124</v>
      </c>
      <c r="E51" s="89">
        <f t="shared" si="1"/>
        <v>0</v>
      </c>
      <c r="F51" s="70">
        <v>0</v>
      </c>
      <c r="G51" s="70">
        <v>0</v>
      </c>
      <c r="H51" s="70">
        <v>6019</v>
      </c>
      <c r="I51" s="70">
        <v>2760</v>
      </c>
      <c r="J51" s="70">
        <f t="shared" si="2"/>
        <v>3259</v>
      </c>
      <c r="K51" s="68" t="s">
        <v>70</v>
      </c>
      <c r="L51" s="68" t="s">
        <v>387</v>
      </c>
      <c r="M51" s="92" t="s">
        <v>109</v>
      </c>
      <c r="N51" s="100"/>
    </row>
    <row r="52" spans="1:14" s="48" customFormat="1" ht="60" customHeight="1">
      <c r="A52" s="98">
        <v>47</v>
      </c>
      <c r="B52" s="77" t="s">
        <v>99</v>
      </c>
      <c r="C52" s="78" t="s">
        <v>13</v>
      </c>
      <c r="D52" s="78" t="s">
        <v>87</v>
      </c>
      <c r="E52" s="89">
        <f t="shared" si="1"/>
        <v>0.23317248657582254</v>
      </c>
      <c r="F52" s="70">
        <v>34380</v>
      </c>
      <c r="G52" s="70">
        <v>750</v>
      </c>
      <c r="H52" s="70">
        <v>150661</v>
      </c>
      <c r="I52" s="70">
        <v>45493</v>
      </c>
      <c r="J52" s="70">
        <f t="shared" si="2"/>
        <v>105168</v>
      </c>
      <c r="K52" s="68" t="s">
        <v>66</v>
      </c>
      <c r="L52" s="68" t="s">
        <v>91</v>
      </c>
      <c r="M52" s="92">
        <v>69718</v>
      </c>
      <c r="N52" s="99"/>
    </row>
    <row r="53" spans="1:14" s="48" customFormat="1" ht="60" customHeight="1">
      <c r="A53" s="98">
        <v>48</v>
      </c>
      <c r="B53" s="77" t="s">
        <v>99</v>
      </c>
      <c r="C53" s="78" t="s">
        <v>319</v>
      </c>
      <c r="D53" s="78" t="s">
        <v>88</v>
      </c>
      <c r="E53" s="89">
        <f t="shared" si="1"/>
        <v>0.82918311569996961</v>
      </c>
      <c r="F53" s="70">
        <f>767+4663</f>
        <v>5430</v>
      </c>
      <c r="G53" s="70">
        <v>31</v>
      </c>
      <c r="H53" s="70">
        <f>1681+4905</f>
        <v>6586</v>
      </c>
      <c r="I53" s="70">
        <v>4305</v>
      </c>
      <c r="J53" s="70">
        <f t="shared" si="2"/>
        <v>2281</v>
      </c>
      <c r="K53" s="76" t="s">
        <v>353</v>
      </c>
      <c r="L53" s="76" t="s">
        <v>186</v>
      </c>
      <c r="M53" s="92" t="s">
        <v>109</v>
      </c>
      <c r="N53" s="102"/>
    </row>
    <row r="54" spans="1:14" s="48" customFormat="1" ht="60" customHeight="1">
      <c r="A54" s="98">
        <v>49</v>
      </c>
      <c r="B54" s="77" t="s">
        <v>99</v>
      </c>
      <c r="C54" s="78" t="s">
        <v>185</v>
      </c>
      <c r="D54" s="78" t="s">
        <v>342</v>
      </c>
      <c r="E54" s="89">
        <f t="shared" si="1"/>
        <v>0.57800940849062021</v>
      </c>
      <c r="F54" s="70">
        <v>82764</v>
      </c>
      <c r="G54" s="70">
        <v>7791</v>
      </c>
      <c r="H54" s="70">
        <v>156667</v>
      </c>
      <c r="I54" s="70">
        <v>90527</v>
      </c>
      <c r="J54" s="70">
        <f t="shared" si="2"/>
        <v>66140</v>
      </c>
      <c r="K54" s="68" t="s">
        <v>354</v>
      </c>
      <c r="L54" s="80" t="s">
        <v>326</v>
      </c>
      <c r="M54" s="92">
        <v>41331</v>
      </c>
      <c r="N54" s="100"/>
    </row>
    <row r="55" spans="1:14" s="48" customFormat="1" ht="90" customHeight="1">
      <c r="A55" s="98">
        <v>50</v>
      </c>
      <c r="B55" s="77" t="s">
        <v>92</v>
      </c>
      <c r="C55" s="72" t="s">
        <v>366</v>
      </c>
      <c r="D55" s="78" t="s">
        <v>367</v>
      </c>
      <c r="E55" s="89">
        <f t="shared" si="1"/>
        <v>0</v>
      </c>
      <c r="F55" s="70">
        <v>0</v>
      </c>
      <c r="G55" s="70">
        <v>0</v>
      </c>
      <c r="H55" s="70">
        <v>58342</v>
      </c>
      <c r="I55" s="70">
        <v>35701</v>
      </c>
      <c r="J55" s="70">
        <f t="shared" si="2"/>
        <v>22641</v>
      </c>
      <c r="K55" s="83" t="s">
        <v>18</v>
      </c>
      <c r="L55" s="83" t="s">
        <v>326</v>
      </c>
      <c r="M55" s="92" t="s">
        <v>109</v>
      </c>
      <c r="N55" s="103"/>
    </row>
    <row r="56" spans="1:14" s="48" customFormat="1" ht="60" customHeight="1">
      <c r="A56" s="98">
        <v>51</v>
      </c>
      <c r="B56" s="77" t="s">
        <v>95</v>
      </c>
      <c r="C56" s="78" t="s">
        <v>250</v>
      </c>
      <c r="D56" s="72" t="s">
        <v>374</v>
      </c>
      <c r="E56" s="89">
        <f t="shared" si="1"/>
        <v>0.13789276953626914</v>
      </c>
      <c r="F56" s="70">
        <v>2361</v>
      </c>
      <c r="G56" s="75">
        <v>0</v>
      </c>
      <c r="H56" s="70">
        <v>17122</v>
      </c>
      <c r="I56" s="70">
        <v>11523</v>
      </c>
      <c r="J56" s="70">
        <f t="shared" si="2"/>
        <v>5599</v>
      </c>
      <c r="K56" s="68" t="s">
        <v>375</v>
      </c>
      <c r="L56" s="68" t="s">
        <v>326</v>
      </c>
      <c r="M56" s="92">
        <v>2359</v>
      </c>
      <c r="N56" s="99"/>
    </row>
    <row r="57" spans="1:14" s="48" customFormat="1" ht="60" customHeight="1">
      <c r="A57" s="98">
        <v>52</v>
      </c>
      <c r="B57" s="77" t="s">
        <v>96</v>
      </c>
      <c r="C57" s="78" t="s">
        <v>1</v>
      </c>
      <c r="D57" s="78" t="s">
        <v>343</v>
      </c>
      <c r="E57" s="89">
        <f t="shared" si="1"/>
        <v>3.1237999833041156E-2</v>
      </c>
      <c r="F57" s="70">
        <v>1871</v>
      </c>
      <c r="G57" s="70">
        <v>0</v>
      </c>
      <c r="H57" s="70">
        <v>59895</v>
      </c>
      <c r="I57" s="70">
        <v>26601</v>
      </c>
      <c r="J57" s="70">
        <f t="shared" si="2"/>
        <v>33294</v>
      </c>
      <c r="K57" s="68" t="s">
        <v>406</v>
      </c>
      <c r="L57" s="68" t="s">
        <v>326</v>
      </c>
      <c r="M57" s="92">
        <v>723</v>
      </c>
      <c r="N57" s="99"/>
    </row>
    <row r="58" spans="1:14" s="48" customFormat="1" ht="60" customHeight="1">
      <c r="A58" s="98">
        <v>53</v>
      </c>
      <c r="B58" s="77" t="s">
        <v>96</v>
      </c>
      <c r="C58" s="78" t="s">
        <v>2</v>
      </c>
      <c r="D58" s="78" t="s">
        <v>343</v>
      </c>
      <c r="E58" s="89">
        <f t="shared" si="1"/>
        <v>4.2739179954441917E-2</v>
      </c>
      <c r="F58" s="70">
        <v>3002</v>
      </c>
      <c r="G58" s="70">
        <v>0</v>
      </c>
      <c r="H58" s="70">
        <v>70240</v>
      </c>
      <c r="I58" s="70">
        <v>23678</v>
      </c>
      <c r="J58" s="70">
        <f t="shared" si="2"/>
        <v>46562</v>
      </c>
      <c r="K58" s="68" t="s">
        <v>355</v>
      </c>
      <c r="L58" s="68" t="s">
        <v>326</v>
      </c>
      <c r="M58" s="92">
        <v>288</v>
      </c>
      <c r="N58" s="99"/>
    </row>
    <row r="59" spans="1:14" s="48" customFormat="1" ht="60" customHeight="1">
      <c r="A59" s="98">
        <v>54</v>
      </c>
      <c r="B59" s="77" t="s">
        <v>96</v>
      </c>
      <c r="C59" s="72" t="s">
        <v>391</v>
      </c>
      <c r="D59" s="78" t="s">
        <v>392</v>
      </c>
      <c r="E59" s="89">
        <f t="shared" si="1"/>
        <v>0</v>
      </c>
      <c r="F59" s="70">
        <v>0</v>
      </c>
      <c r="G59" s="70">
        <v>0</v>
      </c>
      <c r="H59" s="70">
        <v>3118</v>
      </c>
      <c r="I59" s="70">
        <v>1876</v>
      </c>
      <c r="J59" s="70">
        <f t="shared" si="2"/>
        <v>1242</v>
      </c>
      <c r="K59" s="68" t="s">
        <v>18</v>
      </c>
      <c r="L59" s="68" t="s">
        <v>326</v>
      </c>
      <c r="M59" s="92" t="s">
        <v>109</v>
      </c>
      <c r="N59" s="99"/>
    </row>
    <row r="60" spans="1:14" s="48" customFormat="1" ht="60" customHeight="1">
      <c r="A60" s="98">
        <v>55</v>
      </c>
      <c r="B60" s="77" t="s">
        <v>96</v>
      </c>
      <c r="C60" s="72" t="s">
        <v>315</v>
      </c>
      <c r="D60" s="72" t="s">
        <v>373</v>
      </c>
      <c r="E60" s="89">
        <f t="shared" si="1"/>
        <v>0.28794602698650673</v>
      </c>
      <c r="F60" s="70">
        <v>28809</v>
      </c>
      <c r="G60" s="70">
        <v>0</v>
      </c>
      <c r="H60" s="70">
        <v>100050</v>
      </c>
      <c r="I60" s="70">
        <v>35166</v>
      </c>
      <c r="J60" s="70">
        <f t="shared" si="2"/>
        <v>64884</v>
      </c>
      <c r="K60" s="68" t="s">
        <v>226</v>
      </c>
      <c r="L60" s="68" t="s">
        <v>326</v>
      </c>
      <c r="M60" s="92" t="s">
        <v>109</v>
      </c>
      <c r="N60" s="99"/>
    </row>
    <row r="61" spans="1:14" ht="20.100000000000001" customHeight="1">
      <c r="A61" s="104"/>
      <c r="B61" s="104"/>
      <c r="C61" s="131" t="s">
        <v>402</v>
      </c>
      <c r="D61" s="131"/>
      <c r="E61" s="131"/>
      <c r="F61" s="131"/>
      <c r="G61" s="131"/>
      <c r="H61" s="131"/>
      <c r="I61" s="131"/>
      <c r="J61" s="131"/>
      <c r="K61" s="131"/>
      <c r="L61" s="131"/>
      <c r="M61" s="85"/>
      <c r="N61" s="105"/>
    </row>
    <row r="62" spans="1:14" s="10" customFormat="1" ht="20.100000000000001" customHeight="1">
      <c r="A62" s="106"/>
      <c r="B62" s="106"/>
      <c r="C62" s="132" t="s">
        <v>404</v>
      </c>
      <c r="D62" s="132"/>
      <c r="E62" s="132"/>
      <c r="F62" s="132"/>
      <c r="G62" s="132"/>
      <c r="H62" s="132"/>
      <c r="I62" s="132"/>
      <c r="J62" s="132"/>
      <c r="K62" s="132"/>
      <c r="L62" s="132"/>
      <c r="M62" s="132"/>
      <c r="N62" s="132"/>
    </row>
    <row r="63" spans="1:14" s="10" customFormat="1" ht="20.100000000000001" customHeight="1">
      <c r="A63" s="106"/>
      <c r="B63" s="106"/>
      <c r="C63" s="132" t="s">
        <v>405</v>
      </c>
      <c r="D63" s="133"/>
      <c r="E63" s="133"/>
      <c r="F63" s="133"/>
      <c r="G63" s="133"/>
      <c r="H63" s="133"/>
      <c r="I63" s="133"/>
      <c r="J63" s="133"/>
      <c r="K63" s="133"/>
      <c r="L63" s="133"/>
      <c r="M63" s="85"/>
      <c r="N63" s="105"/>
    </row>
    <row r="64" spans="1:14" s="10" customFormat="1" ht="20.100000000000001" customHeight="1">
      <c r="A64" s="107"/>
      <c r="B64" s="107"/>
      <c r="C64" s="108" t="s">
        <v>403</v>
      </c>
      <c r="D64" s="109"/>
      <c r="E64" s="110"/>
      <c r="F64" s="110"/>
      <c r="G64" s="110"/>
      <c r="H64" s="111"/>
      <c r="I64" s="111"/>
      <c r="J64" s="111"/>
      <c r="K64" s="112"/>
      <c r="L64" s="112"/>
      <c r="M64" s="85"/>
      <c r="N64" s="105"/>
    </row>
    <row r="65" spans="1:14" s="10" customFormat="1" ht="20.100000000000001" customHeight="1">
      <c r="A65" s="107"/>
      <c r="B65" s="107"/>
      <c r="C65" s="113"/>
      <c r="D65" s="113"/>
      <c r="E65" s="114"/>
      <c r="F65" s="114"/>
      <c r="G65" s="114"/>
      <c r="H65" s="115"/>
      <c r="I65" s="115"/>
      <c r="J65" s="115"/>
      <c r="K65" s="105"/>
      <c r="L65" s="105"/>
      <c r="M65" s="85"/>
      <c r="N65" s="105"/>
    </row>
    <row r="66" spans="1:14" s="10" customFormat="1" ht="20.100000000000001" customHeight="1">
      <c r="A66" s="71"/>
      <c r="B66" s="71"/>
      <c r="C66" s="62"/>
      <c r="D66" s="62"/>
      <c r="E66" s="63"/>
      <c r="F66" s="63"/>
      <c r="G66" s="63"/>
      <c r="H66" s="64"/>
      <c r="I66" s="64"/>
      <c r="J66" s="64"/>
      <c r="K66" s="65"/>
      <c r="L66" s="65"/>
      <c r="M66" s="85"/>
      <c r="N66" s="65"/>
    </row>
    <row r="67" spans="1:14" s="10" customFormat="1" ht="20.100000000000001" customHeight="1">
      <c r="A67" s="71"/>
      <c r="B67" s="71"/>
      <c r="C67" s="62"/>
      <c r="D67" s="62"/>
      <c r="E67" s="63"/>
      <c r="F67" s="63"/>
      <c r="G67" s="63"/>
      <c r="H67" s="64"/>
      <c r="I67" s="64"/>
      <c r="J67" s="64"/>
      <c r="K67" s="65"/>
      <c r="L67" s="65"/>
      <c r="M67" s="85"/>
      <c r="N67" s="65"/>
    </row>
    <row r="68" spans="1:14" s="10" customFormat="1" ht="20.100000000000001" customHeight="1">
      <c r="A68" s="71"/>
      <c r="B68" s="71"/>
      <c r="C68" s="62"/>
      <c r="D68" s="62"/>
      <c r="E68" s="63"/>
      <c r="F68" s="63"/>
      <c r="G68" s="63"/>
      <c r="H68" s="64"/>
      <c r="I68" s="64"/>
      <c r="J68" s="64"/>
      <c r="K68" s="65"/>
      <c r="L68" s="65"/>
      <c r="M68" s="85"/>
      <c r="N68" s="65"/>
    </row>
    <row r="69" spans="1:14" s="10" customFormat="1" ht="20.100000000000001" customHeight="1">
      <c r="A69" s="71"/>
      <c r="B69" s="71"/>
      <c r="C69" s="62"/>
      <c r="D69" s="62"/>
      <c r="E69" s="63"/>
      <c r="F69" s="63"/>
      <c r="G69" s="63"/>
      <c r="H69" s="64"/>
      <c r="I69" s="64"/>
      <c r="J69" s="64"/>
      <c r="K69" s="65"/>
      <c r="L69" s="65"/>
      <c r="M69" s="85"/>
      <c r="N69" s="65"/>
    </row>
  </sheetData>
  <customSheetViews>
    <customSheetView guid="{059B7AB1-A73C-4BC5-991D-327B0179F92D}" scale="55" showGridLines="0" fitToPage="1" hiddenColumns="1">
      <pane xSplit="3" ySplit="5" topLeftCell="D33" activePane="bottomRight" state="frozen"/>
      <selection pane="bottomRight" activeCell="D35" sqref="D3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customSheetView>
    <customSheetView guid="{5B8A0CAF-BC9B-4670-A91B-C7F9421BC3F7}" scale="85" showGridLines="0" fitToPage="1" hiddenColumns="1">
      <pane xSplit="3" ySplit="5" topLeftCell="D60" activePane="bottomRight" state="frozen"/>
      <selection pane="bottomRight" activeCell="D11" sqref="D11"/>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customSheetView>
    <customSheetView guid="{7B95FA94-D01D-4528-A96E-188FD548573A}" fitToPage="1" showAutoFilter="1" hiddenColumns="1">
      <pane xSplit="3" ySplit="5" topLeftCell="D6" activePane="bottomRight" state="frozen"/>
      <selection pane="bottomRight" activeCell="C8" sqref="C8"/>
      <pageMargins left="0.39370078740157483" right="0.27559055118110237" top="0.39370078740157483" bottom="0.39370078740157483" header="0.19685039370078741" footer="0.19685039370078741"/>
      <printOptions horizontalCentered="1"/>
      <pageSetup paperSize="8" scale="59" fitToHeight="0" orientation="landscape" r:id="rId3"/>
      <headerFooter alignWithMargins="0"/>
      <autoFilter ref="B1:AZ1"/>
    </customSheetView>
    <customSheetView guid="{47AE5BBD-A385-41BE-B786-2DF2D65C20C7}" scale="55" showGridLines="0" fitToPage="1" showAutoFilter="1" hiddenColumns="1">
      <pane xSplit="3" ySplit="5" topLeftCell="H14" activePane="bottomRight" state="frozen"/>
      <selection pane="bottomRight" activeCell="B17" sqref="B17"/>
      <pageMargins left="0.39370078740157483" right="0.27559055118110237" top="0.39370078740157483" bottom="0.39370078740157483" header="0.19685039370078741" footer="0.19685039370078741"/>
      <printOptions horizontalCentered="1"/>
      <pageSetup paperSize="8" scale="41" fitToHeight="0" orientation="landscape" r:id="rId4"/>
      <headerFooter alignWithMargins="0"/>
      <autoFilter ref="B1:AR1"/>
    </customSheetView>
    <customSheetView guid="{A0FF5FE9-963B-4465-B2FA-FC8073C4F0AC}" scale="60" showPageBreaks="1" showGridLines="0" fitToPage="1" printArea="1" hiddenColumns="1">
      <pane xSplit="3" ySplit="5" topLeftCell="D57" activePane="bottomRight" state="frozen"/>
      <selection pane="bottomRight" activeCell="D60" sqref="D60"/>
      <pageMargins left="0.39370078740157483" right="0.27559055118110237" top="0.39370078740157483" bottom="0.39370078740157483" header="0.19685039370078741" footer="0.19685039370078741"/>
      <printOptions horizontalCentered="1"/>
      <pageSetup paperSize="8" scale="39" fitToHeight="0" orientation="landscape" r:id="rId5"/>
      <headerFooter alignWithMargins="0"/>
    </customSheetView>
    <customSheetView guid="{5D7BC948-B761-4C79-AFD0-CA72550D1ACD}" scale="70" showGridLines="0" fitToPage="1" showAutoFilter="1" hiddenColumns="1">
      <pane xSplit="3" ySplit="5" topLeftCell="H9" activePane="bottomRight" state="frozen"/>
      <selection pane="bottomRight" activeCell="H14" sqref="H14"/>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AO1"/>
    </customSheetView>
    <customSheetView guid="{19095B01-EB70-4978-A824-089E8010321E}" scale="60" showGridLines="0" fitToPage="1" hiddenColumns="1">
      <pane xSplit="3" ySplit="5" topLeftCell="D74" activePane="bottomRight" state="frozen"/>
      <selection pane="bottomRight" activeCell="B59" sqref="B59"/>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customSheetView>
    <customSheetView guid="{C7C2E1F7-8D25-45A3-98C8-F22E332F6CE0}" scale="55" showPageBreaks="1" showGridLines="0" fitToPage="1" printArea="1" showAutoFilter="1" topLeftCell="A2">
      <selection activeCell="G6" sqref="G6"/>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P1"/>
    </customSheetView>
    <customSheetView guid="{C2EE5954-9791-4212-8389-87F2B1BCEDE3}" scale="55" showPageBreaks="1" showGridLines="0" fitToPage="1" filter="1" showAutoFilter="1">
      <pane xSplit="3" ySplit="33" topLeftCell="D35" activePane="bottomRight" state="frozen"/>
      <selection pane="bottomRight" activeCell="L243" sqref="L243"/>
      <pageMargins left="0.39370078740157483" right="0.27559055118110237" top="0.39370078740157483" bottom="0.39370078740157483" header="0.19685039370078741" footer="0.19685039370078741"/>
      <printOptions horizontalCentered="1"/>
      <pageSetup paperSize="8" scale="28" fitToHeight="0" orientation="landscape" r:id="rId9"/>
      <headerFooter alignWithMargins="0"/>
      <autoFilter ref="B1:P1">
        <filterColumn colId="1">
          <filters blank="1">
            <filter val="健康福祉局"/>
          </filters>
        </filterColumn>
      </autoFilter>
    </customSheetView>
    <customSheetView guid="{0BB2ECCB-433A-478D-BC68-8EAEF57773B0}" scale="70" showPageBreaks="1" showGridLines="0" fitToPage="1" printArea="1" hiddenColumns="1">
      <pane xSplit="3" ySplit="5" topLeftCell="D53" activePane="bottomRight" state="frozen"/>
      <selection pane="bottomRight" activeCell="E55" sqref="E55"/>
      <pageMargins left="0.39370078740157483" right="0.27559055118110237" top="0.39370078740157483" bottom="0.39370078740157483" header="0.19685039370078741" footer="0.19685039370078741"/>
      <printOptions horizontalCentered="1"/>
      <pageSetup paperSize="8" scale="46" fitToHeight="0" orientation="landscape" r:id="rId10"/>
      <headerFooter alignWithMargins="0"/>
    </customSheetView>
    <customSheetView guid="{BB034A02-4157-4F4C-970A-104573BB908D}" scale="55" showGridLines="0" fitToPage="1" hiddenColumns="1">
      <pane xSplit="3" ySplit="5" topLeftCell="D15" activePane="bottomRight" state="frozen"/>
      <selection pane="bottomRight" activeCell="B19" sqref="B19"/>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customSheetView>
    <customSheetView guid="{92469751-EA1A-4655-A8DE-B0733E860301}" scale="80" showPageBreaks="1" showGridLines="0" fitToPage="1">
      <pane xSplit="3" ySplit="5" topLeftCell="D54" activePane="bottomRight" state="frozen"/>
      <selection pane="bottomRight" activeCell="B56" sqref="B56:B57"/>
      <pageMargins left="0.39370078740157483" right="0.27559055118110237" top="0.39370078740157483" bottom="0.39370078740157483" header="0.19685039370078741" footer="0.19685039370078741"/>
      <printOptions horizontalCentered="1"/>
      <pageSetup paperSize="8" scale="28" fitToHeight="0" orientation="landscape" r:id="rId12"/>
      <headerFooter alignWithMargins="0"/>
    </customSheetView>
    <customSheetView guid="{48DF1A33-946D-4268-BBCF-1269014A917F}" scale="80" showPageBreaks="1" showGridLines="0" fitToPage="1" printArea="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3"/>
      <headerFooter alignWithMargins="0"/>
    </customSheetView>
    <customSheetView guid="{A92F8FF7-940C-4369-B6E9-177F598A060F}" scale="55" showGridLines="0" fitToPage="1" showAutoFilter="1">
      <pane xSplit="1" ySplit="4" topLeftCell="B52" activePane="bottomRight" state="frozen"/>
      <selection pane="bottomRight" activeCell="B58" sqref="B58"/>
      <pageMargins left="0.39370078740157483" right="0.27559055118110237" top="0.39370078740157483" bottom="0.39370078740157483" header="0.19685039370078741" footer="0.19685039370078741"/>
      <printOptions horizontalCentered="1"/>
      <pageSetup paperSize="8" scale="44" fitToHeight="0" orientation="landscape" r:id="rId14"/>
      <headerFooter alignWithMargins="0"/>
      <autoFilter ref="B1:R1"/>
    </customSheetView>
    <customSheetView guid="{4724C107-2586-4CA4-AE84-701A5ED764F6}" scale="55" showGridLines="0" fitToPage="1" showAutoFilter="1">
      <pane xSplit="1" ySplit="4" topLeftCell="B18" activePane="bottomRight" state="frozen"/>
      <selection pane="bottomRight" activeCell="C27" sqref="C27"/>
      <pageMargins left="0.39370078740157483" right="0.27559055118110237" top="0.39370078740157483" bottom="0.39370078740157483" header="0.19685039370078741" footer="0.19685039370078741"/>
      <printOptions horizontalCentered="1"/>
      <pageSetup paperSize="8" scale="44" fitToHeight="0" orientation="landscape" r:id="rId15"/>
      <headerFooter alignWithMargins="0"/>
      <autoFilter ref="B1:R1"/>
    </customSheetView>
    <customSheetView guid="{FBC8A51E-9A49-47F0-B6E7-A8EDFB9ED9FD}" scale="55" showGridLines="0" fitToPage="1" showAutoFilter="1">
      <pane xSplit="1" ySplit="4" topLeftCell="B8" activePane="bottomRight" state="frozen"/>
      <selection pane="bottomRight" activeCell="L12" sqref="L12"/>
      <pageMargins left="0.39370078740157483" right="0.27559055118110237" top="0.39370078740157483" bottom="0.39370078740157483" header="0.19685039370078741" footer="0.19685039370078741"/>
      <printOptions horizontalCentered="1"/>
      <pageSetup paperSize="8" scale="44" fitToHeight="0" orientation="landscape" r:id="rId16"/>
      <headerFooter alignWithMargins="0"/>
      <autoFilter ref="B1:R1"/>
    </customSheetView>
    <customSheetView guid="{11001B3E-87DD-4EEE-B290-3C58C59609F3}" scale="55" showGridLines="0" fitToPage="1" showAutoFilter="1">
      <pane xSplit="1" ySplit="4" topLeftCell="B59" activePane="bottomRight" state="frozen"/>
      <selection pane="bottomRight" activeCell="D62" sqref="D62"/>
      <pageMargins left="0.39370078740157483" right="0.27559055118110237" top="0.39370078740157483" bottom="0.39370078740157483" header="0.19685039370078741" footer="0.19685039370078741"/>
      <printOptions horizontalCentered="1"/>
      <pageSetup paperSize="8" scale="44" fitToHeight="0" orientation="landscape" r:id="rId17"/>
      <headerFooter alignWithMargins="0"/>
      <autoFilter ref="B1:R1"/>
    </customSheetView>
    <customSheetView guid="{B1B896AC-861D-4BED-A785-C2A9799B23E6}" scale="70" showGridLines="0" fitToPage="1" showAutoFilter="1" hiddenColumns="1">
      <pane xSplit="3" ySplit="5" topLeftCell="E9" activePane="bottomRight" state="frozen"/>
      <selection pane="bottomRight" activeCell="J11" sqref="J11"/>
      <pageMargins left="0.39370078740157483" right="0.27559055118110237" top="0.39370078740157483" bottom="0.39370078740157483" header="0.19685039370078741" footer="0.19685039370078741"/>
      <printOptions horizontalCentered="1"/>
      <pageSetup paperSize="8" scale="49" fitToHeight="0" orientation="landscape" r:id="rId18"/>
      <headerFooter alignWithMargins="0"/>
      <autoFilter ref="B1:N1"/>
    </customSheetView>
    <customSheetView guid="{F00D68A2-E6D7-448C-B246-2FC7B0898C57}" scale="80" showGridLines="0" fitToPage="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9"/>
      <headerFooter alignWithMargins="0"/>
    </customSheetView>
    <customSheetView guid="{8BD64CB5-C1EB-4DA0-9E9E-C91E7594013A}" scale="55" showGridLines="0" fitToPage="1" showAutoFilter="1">
      <pane xSplit="3" ySplit="5" topLeftCell="D18" activePane="bottomRight" state="frozen"/>
      <selection pane="bottomRight" activeCell="E21" sqref="E21"/>
      <pageMargins left="0.39370078740157483" right="0.27559055118110237" top="0.39370078740157483" bottom="0.39370078740157483" header="0.19685039370078741" footer="0.19685039370078741"/>
      <printOptions horizontalCentered="1"/>
      <pageSetup paperSize="8" scale="28" fitToHeight="0" orientation="landscape" r:id="rId20"/>
      <headerFooter alignWithMargins="0"/>
      <autoFilter ref="B1:P1"/>
    </customSheetView>
    <customSheetView guid="{E63B6F26-5CA1-415A-AAF5-D842AA183F61}" scale="55" showPageBreaks="1" showGridLines="0" fitToPage="1">
      <pane xSplit="3" ySplit="5" topLeftCell="D6" activePane="bottomRight" state="frozen"/>
      <selection pane="bottomRight" activeCell="E7" sqref="E7"/>
      <pageMargins left="0.39370078740157483" right="0.27559055118110237" top="0.39370078740157483" bottom="0.39370078740157483" header="0.19685039370078741" footer="0.19685039370078741"/>
      <printOptions horizontalCentered="1"/>
      <pageSetup paperSize="8" scale="28" fitToHeight="0" orientation="landscape" r:id="rId21"/>
      <headerFooter alignWithMargins="0"/>
    </customSheetView>
    <customSheetView guid="{044D20CE-B695-4BC1-A3B0-D60A68B6D73D}" scale="80" showPageBreaks="1" showGridLines="0" fitToPage="1" printArea="1" hiddenColumns="1">
      <pane xSplit="3" ySplit="5" topLeftCell="D57" activePane="bottomRight" state="frozen"/>
      <selection pane="bottomRight" activeCell="E59" sqref="E59"/>
      <pageMargins left="0.39370078740157483" right="0.27559055118110237" top="0.39370078740157483" bottom="0.39370078740157483" header="0.19685039370078741" footer="0.19685039370078741"/>
      <printOptions horizontalCentered="1"/>
      <pageSetup paperSize="8" scale="46" fitToHeight="0" orientation="landscape" r:id="rId22"/>
      <headerFooter alignWithMargins="0"/>
    </customSheetView>
    <customSheetView guid="{1ADEBCB8-9FB3-4DB2-BD49-E19DCBC61CF4}" scale="55" showPageBreaks="1" showGridLines="0" fitToPage="1">
      <pane xSplit="1" ySplit="4" topLeftCell="B5" activePane="bottomRight" state="frozen"/>
      <selection pane="bottomRight" activeCell="L11" sqref="L11"/>
      <pageMargins left="0.39370078740157483" right="0.27559055118110237" top="0.39370078740157483" bottom="0.39370078740157483" header="0.19685039370078741" footer="0.19685039370078741"/>
      <printOptions horizontalCentered="1"/>
      <pageSetup paperSize="8" scale="28" fitToHeight="0" orientation="landscape" r:id="rId23"/>
      <headerFooter alignWithMargins="0"/>
    </customSheetView>
    <customSheetView guid="{8861AE24-1F01-42AD-BF50-4516A37941DC}" scale="55" showPageBreaks="1" showGridLines="0" fitToPage="1" printArea="1" showAutoFilter="1" hiddenColumns="1">
      <pane xSplit="3" ySplit="5" topLeftCell="D51" activePane="bottomRight" state="frozen"/>
      <selection pane="bottomRight" activeCell="B52" sqref="B52"/>
      <pageMargins left="0.39370078740157483" right="0.27559055118110237" top="0.39370078740157483" bottom="0.39370078740157483" header="0.19685039370078741" footer="0.19685039370078741"/>
      <printOptions horizontalCentered="1"/>
      <pageSetup paperSize="8" scale="46" fitToHeight="0" orientation="landscape" r:id="rId24"/>
      <headerFooter alignWithMargins="0"/>
      <autoFilter ref="B1:P1"/>
    </customSheetView>
    <customSheetView guid="{8EA625F0-5D2E-4E9B-8B85-5A4134DD8279}" scale="40" showPageBreaks="1" showGridLines="0" fitToPage="1" hiddenColumns="1">
      <pane xSplit="3" ySplit="5" topLeftCell="D15" activePane="bottomRight" state="frozen"/>
      <selection pane="bottomRight" activeCell="H18" sqref="H18"/>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customSheetView>
    <customSheetView guid="{D4A96488-6408-401A-B242-47247BD68402}" scale="55" showPageBreaks="1" showGridLines="0" fitToPage="1" printArea="1" showAutoFilter="1">
      <pane xSplit="1" ySplit="4" topLeftCell="B29" activePane="bottomRight" state="frozen"/>
      <selection pane="bottomRight" activeCell="A32" sqref="A32"/>
      <pageMargins left="0.39370078740157483" right="0.27559055118110237" top="0.39370078740157483" bottom="0.39370078740157483" header="0.19685039370078741" footer="0.19685039370078741"/>
      <printOptions horizontalCentered="1"/>
      <pageSetup paperSize="8" scale="39" fitToHeight="0" orientation="landscape" r:id="rId26"/>
      <headerFooter alignWithMargins="0"/>
      <autoFilter ref="B1:AR1"/>
    </customSheetView>
    <customSheetView guid="{4BD327CA-D2D9-47BB-8D43-E6A2085736FF}" scale="70" showGridLines="0" fitToPage="1" showAutoFilter="1" hiddenColumns="1">
      <pane xSplit="3" ySplit="5" topLeftCell="D54" activePane="bottomRight" state="frozen"/>
      <selection pane="bottomRight" activeCell="C56" sqref="C56"/>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AR1"/>
    </customSheetView>
    <customSheetView guid="{0A60D169-EA4D-42F0-A2F3-528073C1F4D5}" scale="55" showGridLines="0" fitToPage="1" hiddenColumns="1">
      <pane xSplit="3" ySplit="5" topLeftCell="D6" activePane="bottomRight" state="frozen"/>
      <selection pane="bottomRight" activeCell="M28" sqref="M28"/>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customSheetView>
    <customSheetView guid="{F61D973C-B322-4E3F-91AB-97FEEA952E82}" scale="50" showPageBreaks="1" showGridLines="0" fitToPage="1" showAutoFilter="1">
      <pane xSplit="3" ySplit="5" topLeftCell="D25" activePane="bottomRight" state="frozen"/>
      <selection pane="bottomRight" activeCell="J26" sqref="J26"/>
      <pageMargins left="0.39370078740157483" right="0.27559055118110237" top="0.39370078740157483" bottom="0.39370078740157483" header="0.19685039370078741" footer="0.19685039370078741"/>
      <printOptions horizontalCentered="1"/>
      <pageSetup paperSize="8" scale="26" fitToHeight="0" orientation="landscape" r:id="rId29"/>
      <headerFooter alignWithMargins="0"/>
      <autoFilter ref="B1:AR1"/>
    </customSheetView>
    <customSheetView guid="{7F5C8E7A-36EF-49B6-8AD1-0AE683E12EE0}" scale="50" showGridLines="0" fitToPage="1" showAutoFilter="1" hiddenColumns="1">
      <pane xSplit="3" ySplit="5" topLeftCell="I6" activePane="bottomRight" state="frozen"/>
      <selection pane="bottomRight" activeCell="P1" sqref="P1:Q1"/>
      <pageMargins left="0.39370078740157483" right="0.27559055118110237" top="0.39370078740157483" bottom="0.39370078740157483" header="0.19685039370078741" footer="0.19685039370078741"/>
      <printOptions horizontalCentered="1"/>
      <pageSetup paperSize="8" scale="26" fitToHeight="0" orientation="landscape" r:id="rId30"/>
      <headerFooter alignWithMargins="0"/>
      <autoFilter ref="B1:AX1"/>
    </customSheetView>
    <customSheetView guid="{AC5D4131-12C8-4117-9087-BAF7435F9B53}" scale="60" showPageBreaks="1" showGridLines="0" fitToPage="1" showAutoFilter="1">
      <pane xSplit="3" ySplit="5" topLeftCell="D57" activePane="bottomRight" state="frozen"/>
      <selection pane="bottomRight" activeCell="B57" sqref="B57:B59"/>
      <pageMargins left="0.39370078740157483" right="0.27559055118110237" top="0.39370078740157483" bottom="0.39370078740157483" header="0.19685039370078741" footer="0.19685039370078741"/>
      <printOptions horizontalCentered="1"/>
      <pageSetup paperSize="8" scale="31" fitToHeight="0" orientation="landscape" r:id="rId31"/>
      <headerFooter alignWithMargins="0"/>
      <autoFilter ref="B1:AZ1"/>
    </customSheetView>
    <customSheetView guid="{2DE5E7C6-AE47-4EE6-8A44-2588C73E3397}" scale="85" showGridLines="0" fitToPage="1" hiddenColumns="1">
      <pane xSplit="3" ySplit="5" topLeftCell="D58" activePane="bottomRight" state="frozen"/>
      <selection pane="bottomRight" activeCell="B63" sqref="B63"/>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customSheetView>
    <customSheetView guid="{98E8C3D6-8FBF-4D5C-8624-4C53BC7003C2}" scale="70" showPageBreaks="1" showGridLines="0" fitToPage="1" hiddenColumns="1">
      <pane xSplit="3" ySplit="5" topLeftCell="D64" activePane="bottomRight" state="frozen"/>
      <selection pane="bottomRight" activeCell="G54" sqref="G54"/>
      <pageMargins left="0.39370078740157483" right="0.27559055118110237" top="0.39370078740157483" bottom="0.39370078740157483" header="0.19685039370078741" footer="0.19685039370078741"/>
      <printOptions horizontalCentered="1"/>
      <pageSetup paperSize="8" scale="55" fitToHeight="0" orientation="landscape" r:id="rId33"/>
      <headerFooter alignWithMargins="0"/>
    </customSheetView>
  </customSheetViews>
  <mergeCells count="16">
    <mergeCell ref="C61:L61"/>
    <mergeCell ref="C63:L63"/>
    <mergeCell ref="D4:D5"/>
    <mergeCell ref="I4:J4"/>
    <mergeCell ref="L4:L5"/>
    <mergeCell ref="C62:N62"/>
    <mergeCell ref="K4:K5"/>
    <mergeCell ref="M4:M5"/>
    <mergeCell ref="E3:J3"/>
    <mergeCell ref="A4:A5"/>
    <mergeCell ref="B4:B5"/>
    <mergeCell ref="C4:C5"/>
    <mergeCell ref="E4:E5"/>
    <mergeCell ref="F4:F5"/>
    <mergeCell ref="G4:G5"/>
    <mergeCell ref="H4:H5"/>
  </mergeCells>
  <phoneticPr fontId="4"/>
  <printOptions horizontalCentered="1"/>
  <pageMargins left="0.39370078740157483" right="0.27559055118110237" top="0.39370078740157483" bottom="0.39370078740157483" header="0.19685039370078741" footer="0.19685039370078741"/>
  <pageSetup paperSize="8" scale="85" fitToHeight="0" orientation="landscape" r:id="rId34"/>
  <headerFooter alignWithMargins="0"/>
  <drawing r:id="rId3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244</v>
      </c>
    </row>
    <row r="2" spans="1:13" ht="51" customHeight="1">
      <c r="A2" s="15"/>
      <c r="B2" s="15"/>
      <c r="C2" s="15"/>
      <c r="D2" s="15"/>
      <c r="E2" s="15"/>
      <c r="F2" s="15"/>
      <c r="G2" s="15"/>
      <c r="H2" s="15"/>
      <c r="I2" s="13"/>
      <c r="J2" s="13"/>
      <c r="K2" s="14"/>
      <c r="L2" s="14"/>
      <c r="M2" s="26"/>
    </row>
    <row r="3" spans="1:13" ht="42.75" customHeight="1">
      <c r="A3" s="144"/>
      <c r="B3" s="145" t="s">
        <v>103</v>
      </c>
      <c r="C3" s="146" t="s">
        <v>73</v>
      </c>
      <c r="D3" s="19"/>
      <c r="E3" s="148" t="s">
        <v>245</v>
      </c>
      <c r="F3" s="143" t="s">
        <v>106</v>
      </c>
      <c r="G3" s="143" t="s">
        <v>105</v>
      </c>
      <c r="H3" s="138" t="s">
        <v>104</v>
      </c>
      <c r="I3" s="28" t="s">
        <v>16</v>
      </c>
      <c r="J3" s="29"/>
      <c r="K3" s="140" t="s">
        <v>17</v>
      </c>
      <c r="L3" s="141" t="s">
        <v>38</v>
      </c>
      <c r="M3" s="143" t="s">
        <v>90</v>
      </c>
    </row>
    <row r="4" spans="1:13" ht="34.5" customHeight="1">
      <c r="A4" s="144"/>
      <c r="B4" s="145"/>
      <c r="C4" s="147"/>
      <c r="D4" s="20" t="s">
        <v>36</v>
      </c>
      <c r="E4" s="149"/>
      <c r="F4" s="140"/>
      <c r="G4" s="140"/>
      <c r="H4" s="139"/>
      <c r="I4" s="21" t="s">
        <v>14</v>
      </c>
      <c r="J4" s="21" t="s">
        <v>15</v>
      </c>
      <c r="K4" s="140"/>
      <c r="L4" s="142"/>
      <c r="M4" s="143"/>
    </row>
    <row r="5" spans="1:13" s="48" customFormat="1" ht="90" customHeight="1">
      <c r="A5" s="46">
        <v>1</v>
      </c>
      <c r="B5" s="16" t="s">
        <v>102</v>
      </c>
      <c r="C5" s="12" t="s">
        <v>80</v>
      </c>
      <c r="D5" s="1" t="s">
        <v>229</v>
      </c>
      <c r="E5" s="2">
        <f>(F5+G5)/H5</f>
        <v>0.3715645449137418</v>
      </c>
      <c r="F5" s="3">
        <v>7114</v>
      </c>
      <c r="G5" s="3">
        <v>2255</v>
      </c>
      <c r="H5" s="3">
        <v>25215</v>
      </c>
      <c r="I5" s="3">
        <v>15530</v>
      </c>
      <c r="J5" s="3">
        <f t="shared" ref="J5:J64" si="0">H5-I5</f>
        <v>9685</v>
      </c>
      <c r="K5" s="22" t="s">
        <v>34</v>
      </c>
      <c r="L5" s="22" t="s">
        <v>52</v>
      </c>
      <c r="M5" s="47" t="s">
        <v>210</v>
      </c>
    </row>
    <row r="6" spans="1:13" s="48" customFormat="1" ht="117" customHeight="1">
      <c r="A6" s="46">
        <v>2</v>
      </c>
      <c r="B6" s="16" t="s">
        <v>102</v>
      </c>
      <c r="C6" s="12" t="s">
        <v>81</v>
      </c>
      <c r="D6" s="1" t="s">
        <v>126</v>
      </c>
      <c r="E6" s="2">
        <f>(F6+G6)/H6</f>
        <v>0.51522303516639134</v>
      </c>
      <c r="F6" s="4">
        <v>56116</v>
      </c>
      <c r="G6" s="4">
        <v>642</v>
      </c>
      <c r="H6" s="4">
        <v>110162</v>
      </c>
      <c r="I6" s="4">
        <v>43277</v>
      </c>
      <c r="J6" s="4">
        <f t="shared" si="0"/>
        <v>66885</v>
      </c>
      <c r="K6" s="22" t="s">
        <v>60</v>
      </c>
      <c r="L6" s="22" t="s">
        <v>203</v>
      </c>
      <c r="M6" s="47" t="s">
        <v>210</v>
      </c>
    </row>
    <row r="7" spans="1:13" s="48" customFormat="1" ht="95.25" customHeight="1">
      <c r="A7" s="46">
        <v>3</v>
      </c>
      <c r="B7" s="16" t="s">
        <v>100</v>
      </c>
      <c r="C7" s="12" t="s">
        <v>246</v>
      </c>
      <c r="D7" s="1" t="s">
        <v>126</v>
      </c>
      <c r="E7" s="2">
        <f>(F7+G7)/H7</f>
        <v>0.25810873363133913</v>
      </c>
      <c r="F7" s="4">
        <v>6348</v>
      </c>
      <c r="G7" s="4">
        <v>1624</v>
      </c>
      <c r="H7" s="4">
        <f>41321*0.74747</f>
        <v>30886.207869999998</v>
      </c>
      <c r="I7" s="4">
        <f>16782*0.74747</f>
        <v>12544.04154</v>
      </c>
      <c r="J7" s="4">
        <f t="shared" si="0"/>
        <v>18342.16633</v>
      </c>
      <c r="K7" s="22" t="s">
        <v>33</v>
      </c>
      <c r="L7" s="22" t="s">
        <v>147</v>
      </c>
      <c r="M7" s="47" t="s">
        <v>210</v>
      </c>
    </row>
    <row r="8" spans="1:13" s="48" customFormat="1" ht="163.5" customHeight="1">
      <c r="A8" s="46">
        <v>4</v>
      </c>
      <c r="B8" s="16" t="s">
        <v>100</v>
      </c>
      <c r="C8" s="12" t="s">
        <v>75</v>
      </c>
      <c r="D8" s="1" t="s">
        <v>251</v>
      </c>
      <c r="E8" s="2">
        <f>(F8+G8)/H8</f>
        <v>0.44047551868780921</v>
      </c>
      <c r="F8" s="4">
        <v>65717</v>
      </c>
      <c r="G8" s="4">
        <v>4534</v>
      </c>
      <c r="H8" s="51">
        <v>159489</v>
      </c>
      <c r="I8" s="51">
        <v>50745</v>
      </c>
      <c r="J8" s="51">
        <f t="shared" si="0"/>
        <v>108744</v>
      </c>
      <c r="K8" s="23" t="s">
        <v>198</v>
      </c>
      <c r="L8" s="23" t="s">
        <v>150</v>
      </c>
      <c r="M8" s="47" t="s">
        <v>210</v>
      </c>
    </row>
    <row r="9" spans="1:13" s="48" customFormat="1" ht="95.25" customHeight="1">
      <c r="A9" s="46">
        <v>5</v>
      </c>
      <c r="B9" s="16" t="s">
        <v>100</v>
      </c>
      <c r="C9" s="12" t="s">
        <v>125</v>
      </c>
      <c r="D9" s="1" t="s">
        <v>230</v>
      </c>
      <c r="E9" s="52" t="s">
        <v>109</v>
      </c>
      <c r="F9" s="3">
        <v>0</v>
      </c>
      <c r="G9" s="3">
        <v>0</v>
      </c>
      <c r="H9" s="3">
        <v>7077</v>
      </c>
      <c r="I9" s="3">
        <v>4359</v>
      </c>
      <c r="J9" s="3">
        <f t="shared" si="0"/>
        <v>2718</v>
      </c>
      <c r="K9" s="24" t="s">
        <v>18</v>
      </c>
      <c r="L9" s="24" t="s">
        <v>110</v>
      </c>
      <c r="M9" s="47" t="s">
        <v>210</v>
      </c>
    </row>
    <row r="10" spans="1:13" s="48" customFormat="1" ht="106.5" customHeight="1">
      <c r="A10" s="46">
        <v>6</v>
      </c>
      <c r="B10" s="16" t="s">
        <v>295</v>
      </c>
      <c r="C10" s="1" t="s">
        <v>240</v>
      </c>
      <c r="D10" s="12" t="s">
        <v>132</v>
      </c>
      <c r="E10" s="2">
        <f>(F10+G10)/H10</f>
        <v>0.22233583836392756</v>
      </c>
      <c r="F10" s="3">
        <v>12628</v>
      </c>
      <c r="G10" s="3">
        <v>4.9000000000000004</v>
      </c>
      <c r="H10" s="3">
        <v>56819</v>
      </c>
      <c r="I10" s="3">
        <f>13135*0.75334</f>
        <v>9895.1208999999999</v>
      </c>
      <c r="J10" s="3">
        <f t="shared" si="0"/>
        <v>46923.879099999998</v>
      </c>
      <c r="K10" s="22" t="s">
        <v>86</v>
      </c>
      <c r="L10" s="22" t="s">
        <v>202</v>
      </c>
      <c r="M10" s="47" t="s">
        <v>210</v>
      </c>
    </row>
    <row r="11" spans="1:13" s="48" customFormat="1" ht="132" customHeight="1">
      <c r="A11" s="46">
        <v>7</v>
      </c>
      <c r="B11" s="16" t="s">
        <v>102</v>
      </c>
      <c r="C11" s="12" t="s">
        <v>188</v>
      </c>
      <c r="D11" s="1" t="s">
        <v>230</v>
      </c>
      <c r="E11" s="2">
        <f>(F11+G11)/H11</f>
        <v>0.13187788702116476</v>
      </c>
      <c r="F11" s="3">
        <v>3727</v>
      </c>
      <c r="G11" s="3">
        <v>16</v>
      </c>
      <c r="H11" s="3">
        <f>39592*0.71687</f>
        <v>28382.317040000002</v>
      </c>
      <c r="I11" s="3">
        <f>25458*0.71687</f>
        <v>18250.07646</v>
      </c>
      <c r="J11" s="3">
        <f>H11-I11</f>
        <v>10132.240580000002</v>
      </c>
      <c r="K11" s="22" t="s">
        <v>134</v>
      </c>
      <c r="L11" s="22" t="s">
        <v>51</v>
      </c>
      <c r="M11" s="47" t="s">
        <v>210</v>
      </c>
    </row>
    <row r="12" spans="1:13" s="48" customFormat="1" ht="96.75" customHeight="1">
      <c r="A12" s="46">
        <v>8</v>
      </c>
      <c r="B12" s="16" t="s">
        <v>102</v>
      </c>
      <c r="C12" s="12" t="s">
        <v>239</v>
      </c>
      <c r="D12" s="1" t="s">
        <v>230</v>
      </c>
      <c r="E12" s="2" t="s">
        <v>109</v>
      </c>
      <c r="F12" s="3">
        <v>0</v>
      </c>
      <c r="G12" s="3">
        <v>0</v>
      </c>
      <c r="H12" s="3">
        <v>15356</v>
      </c>
      <c r="I12" s="3">
        <v>11620</v>
      </c>
      <c r="J12" s="3">
        <f t="shared" si="0"/>
        <v>3736</v>
      </c>
      <c r="K12" s="24" t="s">
        <v>18</v>
      </c>
      <c r="L12" s="24" t="s">
        <v>110</v>
      </c>
      <c r="M12" s="47" t="s">
        <v>210</v>
      </c>
    </row>
    <row r="13" spans="1:13" s="48" customFormat="1" ht="101.25" customHeight="1">
      <c r="A13" s="46">
        <v>9</v>
      </c>
      <c r="B13" s="16" t="s">
        <v>102</v>
      </c>
      <c r="C13" s="12" t="s">
        <v>133</v>
      </c>
      <c r="D13" s="1" t="s">
        <v>230</v>
      </c>
      <c r="E13" s="2" t="s">
        <v>109</v>
      </c>
      <c r="F13" s="3">
        <v>0</v>
      </c>
      <c r="G13" s="3">
        <v>0</v>
      </c>
      <c r="H13" s="3">
        <v>9129</v>
      </c>
      <c r="I13" s="3">
        <v>3885</v>
      </c>
      <c r="J13" s="3">
        <f t="shared" si="0"/>
        <v>5244</v>
      </c>
      <c r="K13" s="24" t="s">
        <v>18</v>
      </c>
      <c r="L13" s="24" t="s">
        <v>110</v>
      </c>
      <c r="M13" s="47" t="s">
        <v>210</v>
      </c>
    </row>
    <row r="14" spans="1:13" s="48" customFormat="1" ht="127.5" customHeight="1">
      <c r="A14" s="46">
        <v>10</v>
      </c>
      <c r="B14" s="16" t="s">
        <v>102</v>
      </c>
      <c r="C14" s="12" t="s">
        <v>82</v>
      </c>
      <c r="D14" s="1" t="s">
        <v>126</v>
      </c>
      <c r="E14" s="2">
        <v>0.29566567301137514</v>
      </c>
      <c r="F14" s="4">
        <v>201632</v>
      </c>
      <c r="G14" s="4">
        <v>25203</v>
      </c>
      <c r="H14" s="4">
        <v>772075</v>
      </c>
      <c r="I14" s="4">
        <v>230797</v>
      </c>
      <c r="J14" s="4">
        <f t="shared" si="0"/>
        <v>541278</v>
      </c>
      <c r="K14" s="22" t="s">
        <v>59</v>
      </c>
      <c r="L14" s="22" t="s">
        <v>48</v>
      </c>
      <c r="M14" s="47" t="s">
        <v>210</v>
      </c>
    </row>
    <row r="15" spans="1:13" s="48" customFormat="1" ht="99.75" customHeight="1">
      <c r="A15" s="46">
        <v>11</v>
      </c>
      <c r="B15" s="16" t="s">
        <v>102</v>
      </c>
      <c r="C15" s="12" t="s">
        <v>254</v>
      </c>
      <c r="D15" s="12" t="s">
        <v>148</v>
      </c>
      <c r="E15" s="2">
        <f t="shared" ref="E15:E35" si="1">(F15+G15)/H15</f>
        <v>0.94528727988140271</v>
      </c>
      <c r="F15" s="4">
        <v>51778</v>
      </c>
      <c r="G15" s="4">
        <v>16450</v>
      </c>
      <c r="H15" s="4">
        <v>72177</v>
      </c>
      <c r="I15" s="4">
        <v>2833</v>
      </c>
      <c r="J15" s="4">
        <f t="shared" si="0"/>
        <v>69344</v>
      </c>
      <c r="K15" s="25" t="s">
        <v>22</v>
      </c>
      <c r="L15" s="23" t="s">
        <v>49</v>
      </c>
      <c r="M15" s="47" t="s">
        <v>210</v>
      </c>
    </row>
    <row r="16" spans="1:13" s="48" customFormat="1" ht="108.75" customHeight="1">
      <c r="A16" s="46">
        <v>12</v>
      </c>
      <c r="B16" s="16" t="s">
        <v>102</v>
      </c>
      <c r="C16" s="1" t="s">
        <v>255</v>
      </c>
      <c r="D16" s="12" t="s">
        <v>231</v>
      </c>
      <c r="E16" s="2">
        <f t="shared" si="1"/>
        <v>0.50700957727873186</v>
      </c>
      <c r="F16" s="3">
        <v>122060</v>
      </c>
      <c r="G16" s="3">
        <v>758</v>
      </c>
      <c r="H16" s="3">
        <v>242240</v>
      </c>
      <c r="I16" s="3">
        <f>40717+3241</f>
        <v>43958</v>
      </c>
      <c r="J16" s="3">
        <f t="shared" si="0"/>
        <v>198282</v>
      </c>
      <c r="K16" s="22" t="s">
        <v>149</v>
      </c>
      <c r="L16" s="22" t="s">
        <v>50</v>
      </c>
      <c r="M16" s="47" t="s">
        <v>210</v>
      </c>
    </row>
    <row r="17" spans="1:13" s="48" customFormat="1" ht="133.5" customHeight="1">
      <c r="A17" s="46">
        <v>13</v>
      </c>
      <c r="B17" s="16" t="s">
        <v>94</v>
      </c>
      <c r="C17" s="12" t="s">
        <v>301</v>
      </c>
      <c r="D17" s="1" t="s">
        <v>136</v>
      </c>
      <c r="E17" s="2">
        <f t="shared" si="1"/>
        <v>0.13201864817602962</v>
      </c>
      <c r="F17" s="3">
        <v>20184</v>
      </c>
      <c r="G17" s="3">
        <v>3883</v>
      </c>
      <c r="H17" s="3">
        <f>183601*0.992914</f>
        <v>182300.003314</v>
      </c>
      <c r="I17" s="3">
        <f>72670*0.992914</f>
        <v>72155.060379999995</v>
      </c>
      <c r="J17" s="3">
        <f t="shared" si="0"/>
        <v>110144.94293400001</v>
      </c>
      <c r="K17" s="22" t="s">
        <v>137</v>
      </c>
      <c r="L17" s="22" t="s">
        <v>201</v>
      </c>
      <c r="M17" s="47" t="s">
        <v>210</v>
      </c>
    </row>
    <row r="18" spans="1:13" s="48" customFormat="1" ht="135.75" customHeight="1">
      <c r="A18" s="46">
        <v>14</v>
      </c>
      <c r="B18" s="16" t="s">
        <v>94</v>
      </c>
      <c r="C18" s="12" t="s">
        <v>302</v>
      </c>
      <c r="D18" s="1" t="s">
        <v>232</v>
      </c>
      <c r="E18" s="2">
        <f t="shared" si="1"/>
        <v>0.19476749679879848</v>
      </c>
      <c r="F18" s="3">
        <v>6915</v>
      </c>
      <c r="G18" s="3">
        <v>182</v>
      </c>
      <c r="H18" s="3">
        <f>40408*0.90176</f>
        <v>36438.318079999997</v>
      </c>
      <c r="I18" s="49">
        <f>23396*0.90176</f>
        <v>21097.576959999999</v>
      </c>
      <c r="J18" s="49">
        <f t="shared" si="0"/>
        <v>15340.741119999999</v>
      </c>
      <c r="K18" s="22" t="s">
        <v>303</v>
      </c>
      <c r="L18" s="22" t="s">
        <v>118</v>
      </c>
      <c r="M18" s="47" t="s">
        <v>210</v>
      </c>
    </row>
    <row r="19" spans="1:13" s="48" customFormat="1" ht="114" customHeight="1">
      <c r="A19" s="46">
        <v>15</v>
      </c>
      <c r="B19" s="16" t="s">
        <v>94</v>
      </c>
      <c r="C19" s="12" t="s">
        <v>190</v>
      </c>
      <c r="D19" s="1" t="s">
        <v>233</v>
      </c>
      <c r="E19" s="2">
        <f t="shared" si="1"/>
        <v>0.24270453993687788</v>
      </c>
      <c r="F19" s="3">
        <v>9285</v>
      </c>
      <c r="G19" s="3">
        <v>712</v>
      </c>
      <c r="H19" s="3">
        <v>41190</v>
      </c>
      <c r="I19" s="49">
        <v>22886</v>
      </c>
      <c r="J19" s="49">
        <f t="shared" si="0"/>
        <v>18304</v>
      </c>
      <c r="K19" s="22" t="s">
        <v>58</v>
      </c>
      <c r="L19" s="22" t="s">
        <v>118</v>
      </c>
      <c r="M19" s="47" t="s">
        <v>210</v>
      </c>
    </row>
    <row r="20" spans="1:13" s="48" customFormat="1" ht="96" customHeight="1">
      <c r="A20" s="46">
        <v>16</v>
      </c>
      <c r="B20" s="16" t="s">
        <v>94</v>
      </c>
      <c r="C20" s="12" t="s">
        <v>191</v>
      </c>
      <c r="D20" s="1" t="s">
        <v>43</v>
      </c>
      <c r="E20" s="2">
        <f t="shared" si="1"/>
        <v>0.17376720683045827</v>
      </c>
      <c r="F20" s="3">
        <v>3989</v>
      </c>
      <c r="G20" s="3">
        <v>0</v>
      </c>
      <c r="H20" s="3">
        <v>22956</v>
      </c>
      <c r="I20" s="3">
        <v>11709</v>
      </c>
      <c r="J20" s="3">
        <f t="shared" si="0"/>
        <v>11247</v>
      </c>
      <c r="K20" s="22" t="s">
        <v>23</v>
      </c>
      <c r="L20" s="22" t="s">
        <v>110</v>
      </c>
      <c r="M20" s="47" t="s">
        <v>210</v>
      </c>
    </row>
    <row r="21" spans="1:13" s="48" customFormat="1" ht="108" customHeight="1">
      <c r="A21" s="46">
        <v>17</v>
      </c>
      <c r="B21" s="16" t="s">
        <v>94</v>
      </c>
      <c r="C21" s="12" t="s">
        <v>192</v>
      </c>
      <c r="D21" s="12" t="s">
        <v>117</v>
      </c>
      <c r="E21" s="2">
        <f t="shared" si="1"/>
        <v>9.6002640897905292E-2</v>
      </c>
      <c r="F21" s="3">
        <v>8625</v>
      </c>
      <c r="G21" s="3">
        <v>4171</v>
      </c>
      <c r="H21" s="3">
        <v>133288</v>
      </c>
      <c r="I21" s="3">
        <v>62080</v>
      </c>
      <c r="J21" s="3">
        <f t="shared" si="0"/>
        <v>71208</v>
      </c>
      <c r="K21" s="22" t="s">
        <v>68</v>
      </c>
      <c r="L21" s="22" t="s">
        <v>118</v>
      </c>
      <c r="M21" s="47" t="s">
        <v>210</v>
      </c>
    </row>
    <row r="22" spans="1:13" s="48" customFormat="1" ht="143.25" customHeight="1">
      <c r="A22" s="46">
        <v>18</v>
      </c>
      <c r="B22" s="16" t="s">
        <v>94</v>
      </c>
      <c r="C22" s="12" t="s">
        <v>193</v>
      </c>
      <c r="D22" s="12" t="s">
        <v>119</v>
      </c>
      <c r="E22" s="2">
        <f t="shared" si="1"/>
        <v>0.18098337561713701</v>
      </c>
      <c r="F22" s="53">
        <v>16099</v>
      </c>
      <c r="G22" s="53">
        <v>11651</v>
      </c>
      <c r="H22" s="53">
        <v>153329</v>
      </c>
      <c r="I22" s="54">
        <v>68321</v>
      </c>
      <c r="J22" s="54">
        <f t="shared" si="0"/>
        <v>85008</v>
      </c>
      <c r="K22" s="55" t="s">
        <v>63</v>
      </c>
      <c r="L22" s="22" t="s">
        <v>118</v>
      </c>
      <c r="M22" s="47" t="s">
        <v>210</v>
      </c>
    </row>
    <row r="23" spans="1:13" s="48" customFormat="1" ht="141.75" customHeight="1">
      <c r="A23" s="46">
        <v>19</v>
      </c>
      <c r="B23" s="16" t="s">
        <v>94</v>
      </c>
      <c r="C23" s="12" t="s">
        <v>194</v>
      </c>
      <c r="D23" s="12" t="s">
        <v>119</v>
      </c>
      <c r="E23" s="2">
        <f t="shared" si="1"/>
        <v>0.22919093271212257</v>
      </c>
      <c r="F23" s="3">
        <v>5070</v>
      </c>
      <c r="G23" s="3">
        <v>46</v>
      </c>
      <c r="H23" s="3">
        <v>22322</v>
      </c>
      <c r="I23" s="3">
        <v>13198</v>
      </c>
      <c r="J23" s="3">
        <f t="shared" si="0"/>
        <v>9124</v>
      </c>
      <c r="K23" s="22" t="s">
        <v>318</v>
      </c>
      <c r="L23" s="22" t="s">
        <v>118</v>
      </c>
      <c r="M23" s="47" t="s">
        <v>210</v>
      </c>
    </row>
    <row r="24" spans="1:13" s="48" customFormat="1" ht="142.5" customHeight="1">
      <c r="A24" s="46">
        <v>20</v>
      </c>
      <c r="B24" s="16" t="s">
        <v>94</v>
      </c>
      <c r="C24" s="12" t="s">
        <v>304</v>
      </c>
      <c r="D24" s="1" t="s">
        <v>135</v>
      </c>
      <c r="E24" s="2">
        <f t="shared" si="1"/>
        <v>0.32987068471330555</v>
      </c>
      <c r="F24" s="3">
        <v>19227</v>
      </c>
      <c r="G24" s="3">
        <v>49680</v>
      </c>
      <c r="H24" s="3">
        <f>219347*0.952331</f>
        <v>208890.94785700002</v>
      </c>
      <c r="I24" s="3">
        <f>88919*0.952331</f>
        <v>84680.320189000005</v>
      </c>
      <c r="J24" s="3">
        <f t="shared" si="0"/>
        <v>124210.62766800002</v>
      </c>
      <c r="K24" s="22" t="s">
        <v>55</v>
      </c>
      <c r="L24" s="22" t="s">
        <v>46</v>
      </c>
      <c r="M24" s="47" t="s">
        <v>210</v>
      </c>
    </row>
    <row r="25" spans="1:13" s="48" customFormat="1" ht="151.5" customHeight="1">
      <c r="A25" s="46">
        <v>21</v>
      </c>
      <c r="B25" s="16" t="s">
        <v>94</v>
      </c>
      <c r="C25" s="12" t="s">
        <v>196</v>
      </c>
      <c r="D25" s="1" t="s">
        <v>138</v>
      </c>
      <c r="E25" s="2">
        <f t="shared" si="1"/>
        <v>0.40254651877635489</v>
      </c>
      <c r="F25" s="3">
        <v>78414</v>
      </c>
      <c r="G25" s="3">
        <v>14567</v>
      </c>
      <c r="H25" s="3">
        <v>230982</v>
      </c>
      <c r="I25" s="3">
        <v>44628</v>
      </c>
      <c r="J25" s="3">
        <f t="shared" si="0"/>
        <v>186354</v>
      </c>
      <c r="K25" s="22" t="s">
        <v>24</v>
      </c>
      <c r="L25" s="22" t="s">
        <v>47</v>
      </c>
      <c r="M25" s="47" t="s">
        <v>210</v>
      </c>
    </row>
    <row r="26" spans="1:13" s="48" customFormat="1" ht="154.5" customHeight="1">
      <c r="A26" s="46">
        <v>22</v>
      </c>
      <c r="B26" s="16" t="s">
        <v>94</v>
      </c>
      <c r="C26" s="12" t="s">
        <v>197</v>
      </c>
      <c r="D26" s="1" t="s">
        <v>40</v>
      </c>
      <c r="E26" s="2">
        <f t="shared" si="1"/>
        <v>0.53794810155609152</v>
      </c>
      <c r="F26" s="3">
        <v>208029</v>
      </c>
      <c r="G26" s="3">
        <v>141513</v>
      </c>
      <c r="H26" s="3">
        <v>649769</v>
      </c>
      <c r="I26" s="3">
        <v>195251</v>
      </c>
      <c r="J26" s="3">
        <f t="shared" si="0"/>
        <v>454518</v>
      </c>
      <c r="K26" s="22" t="s">
        <v>56</v>
      </c>
      <c r="L26" s="22" t="s">
        <v>41</v>
      </c>
      <c r="M26" s="47" t="s">
        <v>210</v>
      </c>
    </row>
    <row r="27" spans="1:13" s="48" customFormat="1" ht="309" customHeight="1">
      <c r="A27" s="46">
        <v>23</v>
      </c>
      <c r="B27" s="16" t="s">
        <v>101</v>
      </c>
      <c r="C27" s="1" t="s">
        <v>313</v>
      </c>
      <c r="D27" s="12" t="s">
        <v>129</v>
      </c>
      <c r="E27" s="2">
        <f t="shared" si="1"/>
        <v>0.41022469593898164</v>
      </c>
      <c r="F27" s="3">
        <v>1674</v>
      </c>
      <c r="G27" s="3">
        <v>316</v>
      </c>
      <c r="H27" s="3">
        <v>4851</v>
      </c>
      <c r="I27" s="3">
        <v>305</v>
      </c>
      <c r="J27" s="3">
        <f t="shared" si="0"/>
        <v>4546</v>
      </c>
      <c r="K27" s="22" t="s">
        <v>305</v>
      </c>
      <c r="L27" s="22" t="s">
        <v>211</v>
      </c>
      <c r="M27" s="47" t="s">
        <v>210</v>
      </c>
    </row>
    <row r="28" spans="1:13" s="48" customFormat="1" ht="97.5" customHeight="1">
      <c r="A28" s="46">
        <v>24</v>
      </c>
      <c r="B28" s="16" t="s">
        <v>101</v>
      </c>
      <c r="C28" s="1" t="s">
        <v>316</v>
      </c>
      <c r="D28" s="12" t="s">
        <v>130</v>
      </c>
      <c r="E28" s="2">
        <f t="shared" si="1"/>
        <v>0.5405482310537798</v>
      </c>
      <c r="F28" s="3">
        <v>65879</v>
      </c>
      <c r="G28" s="3">
        <v>2509</v>
      </c>
      <c r="H28" s="3">
        <v>126516</v>
      </c>
      <c r="I28" s="3">
        <v>63800</v>
      </c>
      <c r="J28" s="3">
        <f t="shared" si="0"/>
        <v>62716</v>
      </c>
      <c r="K28" s="22" t="s">
        <v>131</v>
      </c>
      <c r="L28" s="22" t="s">
        <v>212</v>
      </c>
      <c r="M28" s="47" t="s">
        <v>210</v>
      </c>
    </row>
    <row r="29" spans="1:13" s="48" customFormat="1" ht="153" customHeight="1">
      <c r="A29" s="46">
        <v>25</v>
      </c>
      <c r="B29" s="16" t="s">
        <v>97</v>
      </c>
      <c r="C29" s="1" t="s">
        <v>3</v>
      </c>
      <c r="D29" s="1" t="s">
        <v>122</v>
      </c>
      <c r="E29" s="2">
        <f t="shared" si="1"/>
        <v>8.5843601793100466E-2</v>
      </c>
      <c r="F29" s="3">
        <v>2255</v>
      </c>
      <c r="G29" s="3">
        <v>1709</v>
      </c>
      <c r="H29" s="3">
        <v>46177</v>
      </c>
      <c r="I29" s="3">
        <v>21590</v>
      </c>
      <c r="J29" s="3">
        <f t="shared" si="0"/>
        <v>24587</v>
      </c>
      <c r="K29" s="22" t="s">
        <v>213</v>
      </c>
      <c r="L29" s="22" t="s">
        <v>214</v>
      </c>
      <c r="M29" s="47" t="s">
        <v>210</v>
      </c>
    </row>
    <row r="30" spans="1:13" s="48" customFormat="1" ht="127.5" customHeight="1">
      <c r="A30" s="46">
        <v>26</v>
      </c>
      <c r="B30" s="16" t="s">
        <v>97</v>
      </c>
      <c r="C30" s="1" t="s">
        <v>241</v>
      </c>
      <c r="D30" s="1" t="s">
        <v>123</v>
      </c>
      <c r="E30" s="2">
        <f t="shared" si="1"/>
        <v>0.17678022237993848</v>
      </c>
      <c r="F30" s="3">
        <v>3985</v>
      </c>
      <c r="G30" s="3">
        <v>7971</v>
      </c>
      <c r="H30" s="3">
        <v>67632</v>
      </c>
      <c r="I30" s="3">
        <f>22521*0.93056</f>
        <v>20957.141760000002</v>
      </c>
      <c r="J30" s="3">
        <f t="shared" si="0"/>
        <v>46674.858240000001</v>
      </c>
      <c r="K30" s="22" t="s">
        <v>215</v>
      </c>
      <c r="L30" s="22" t="s">
        <v>216</v>
      </c>
      <c r="M30" s="47" t="s">
        <v>210</v>
      </c>
    </row>
    <row r="31" spans="1:13" s="48" customFormat="1" ht="210.75" customHeight="1">
      <c r="A31" s="46">
        <v>27</v>
      </c>
      <c r="B31" s="16" t="s">
        <v>97</v>
      </c>
      <c r="C31" s="1" t="s">
        <v>4</v>
      </c>
      <c r="D31" s="1" t="s">
        <v>123</v>
      </c>
      <c r="E31" s="2">
        <f>(F31+G31)/H31</f>
        <v>0.14158479679150229</v>
      </c>
      <c r="F31" s="3">
        <v>12956</v>
      </c>
      <c r="G31" s="3">
        <v>0</v>
      </c>
      <c r="H31" s="3">
        <v>91507</v>
      </c>
      <c r="I31" s="3">
        <v>27461</v>
      </c>
      <c r="J31" s="3">
        <f t="shared" si="0"/>
        <v>64046</v>
      </c>
      <c r="K31" s="22" t="s">
        <v>107</v>
      </c>
      <c r="L31" s="22" t="s">
        <v>217</v>
      </c>
      <c r="M31" s="47" t="s">
        <v>210</v>
      </c>
    </row>
    <row r="32" spans="1:13" s="48" customFormat="1" ht="132.75" customHeight="1">
      <c r="A32" s="46">
        <v>28</v>
      </c>
      <c r="B32" s="16" t="s">
        <v>97</v>
      </c>
      <c r="C32" s="1" t="s">
        <v>5</v>
      </c>
      <c r="D32" s="1" t="s">
        <v>227</v>
      </c>
      <c r="E32" s="2">
        <f t="shared" si="1"/>
        <v>8.9809630459126544E-2</v>
      </c>
      <c r="F32" s="3">
        <v>4010</v>
      </c>
      <c r="G32" s="3">
        <v>0</v>
      </c>
      <c r="H32" s="3">
        <v>44650</v>
      </c>
      <c r="I32" s="3">
        <v>24596</v>
      </c>
      <c r="J32" s="3">
        <f t="shared" si="0"/>
        <v>20054</v>
      </c>
      <c r="K32" s="22" t="s">
        <v>218</v>
      </c>
      <c r="L32" s="22" t="s">
        <v>110</v>
      </c>
      <c r="M32" s="47" t="s">
        <v>210</v>
      </c>
    </row>
    <row r="33" spans="1:13" s="48" customFormat="1" ht="131.25" customHeight="1">
      <c r="A33" s="46">
        <v>29</v>
      </c>
      <c r="B33" s="16" t="s">
        <v>97</v>
      </c>
      <c r="C33" s="12" t="s">
        <v>6</v>
      </c>
      <c r="D33" s="1" t="s">
        <v>219</v>
      </c>
      <c r="E33" s="2">
        <f t="shared" si="1"/>
        <v>0.32193411863507782</v>
      </c>
      <c r="F33" s="3">
        <v>106041</v>
      </c>
      <c r="G33" s="3">
        <v>10494</v>
      </c>
      <c r="H33" s="3">
        <v>361984</v>
      </c>
      <c r="I33" s="3">
        <v>132871</v>
      </c>
      <c r="J33" s="3">
        <f t="shared" si="0"/>
        <v>229113</v>
      </c>
      <c r="K33" s="22" t="s">
        <v>25</v>
      </c>
      <c r="L33" s="22" t="s">
        <v>39</v>
      </c>
      <c r="M33" s="47" t="s">
        <v>210</v>
      </c>
    </row>
    <row r="34" spans="1:13" s="48" customFormat="1" ht="104.25" customHeight="1">
      <c r="A34" s="46">
        <v>30</v>
      </c>
      <c r="B34" s="16" t="s">
        <v>93</v>
      </c>
      <c r="C34" s="12" t="s">
        <v>309</v>
      </c>
      <c r="D34" s="1" t="s">
        <v>111</v>
      </c>
      <c r="E34" s="59">
        <f t="shared" si="1"/>
        <v>0</v>
      </c>
      <c r="F34" s="3">
        <v>0</v>
      </c>
      <c r="G34" s="3">
        <v>0</v>
      </c>
      <c r="H34" s="3">
        <v>16757</v>
      </c>
      <c r="I34" s="3">
        <v>9563</v>
      </c>
      <c r="J34" s="3">
        <f t="shared" si="0"/>
        <v>7194</v>
      </c>
      <c r="K34" s="22" t="s">
        <v>298</v>
      </c>
      <c r="L34" s="22" t="s">
        <v>110</v>
      </c>
      <c r="M34" s="47" t="s">
        <v>210</v>
      </c>
    </row>
    <row r="35" spans="1:13" s="48" customFormat="1" ht="90" customHeight="1">
      <c r="A35" s="46">
        <v>31</v>
      </c>
      <c r="B35" s="16" t="s">
        <v>93</v>
      </c>
      <c r="C35" s="12" t="s">
        <v>72</v>
      </c>
      <c r="D35" s="1" t="s">
        <v>42</v>
      </c>
      <c r="E35" s="59">
        <f t="shared" si="1"/>
        <v>0</v>
      </c>
      <c r="F35" s="3">
        <v>0</v>
      </c>
      <c r="G35" s="3">
        <v>0</v>
      </c>
      <c r="H35" s="3">
        <v>58506</v>
      </c>
      <c r="I35" s="3">
        <v>33083</v>
      </c>
      <c r="J35" s="3">
        <f t="shared" si="0"/>
        <v>25423</v>
      </c>
      <c r="K35" s="24" t="s">
        <v>18</v>
      </c>
      <c r="L35" s="24" t="s">
        <v>110</v>
      </c>
      <c r="M35" s="47" t="s">
        <v>210</v>
      </c>
    </row>
    <row r="36" spans="1:13" s="48" customFormat="1" ht="148.5" customHeight="1">
      <c r="A36" s="46">
        <v>32</v>
      </c>
      <c r="B36" s="16" t="s">
        <v>93</v>
      </c>
      <c r="C36" s="12" t="s">
        <v>84</v>
      </c>
      <c r="D36" s="1" t="s">
        <v>112</v>
      </c>
      <c r="E36" s="2">
        <f>(F36+G36)/H36</f>
        <v>0.67173778814489571</v>
      </c>
      <c r="F36" s="3">
        <v>136666</v>
      </c>
      <c r="G36" s="3">
        <v>19994</v>
      </c>
      <c r="H36" s="3">
        <v>233216</v>
      </c>
      <c r="I36" s="3">
        <v>56195</v>
      </c>
      <c r="J36" s="3">
        <f t="shared" si="0"/>
        <v>177021</v>
      </c>
      <c r="K36" s="22" t="s">
        <v>108</v>
      </c>
      <c r="L36" s="22" t="s">
        <v>44</v>
      </c>
      <c r="M36" s="47" t="s">
        <v>210</v>
      </c>
    </row>
    <row r="37" spans="1:13" s="48" customFormat="1" ht="143.25" customHeight="1">
      <c r="A37" s="46">
        <v>33</v>
      </c>
      <c r="B37" s="16" t="s">
        <v>93</v>
      </c>
      <c r="C37" s="12" t="s">
        <v>113</v>
      </c>
      <c r="D37" s="1" t="s">
        <v>114</v>
      </c>
      <c r="E37" s="2">
        <f>(F37+G37)/H37</f>
        <v>0.13623164414647437</v>
      </c>
      <c r="F37" s="57">
        <v>19751</v>
      </c>
      <c r="G37" s="57">
        <v>0</v>
      </c>
      <c r="H37" s="57">
        <v>144981</v>
      </c>
      <c r="I37" s="57">
        <v>82256</v>
      </c>
      <c r="J37" s="57">
        <f t="shared" si="0"/>
        <v>62725</v>
      </c>
      <c r="K37" s="22" t="s">
        <v>20</v>
      </c>
      <c r="L37" s="22" t="s">
        <v>110</v>
      </c>
      <c r="M37" s="47" t="s">
        <v>210</v>
      </c>
    </row>
    <row r="38" spans="1:13" s="48" customFormat="1" ht="225.75" customHeight="1">
      <c r="A38" s="46">
        <v>34</v>
      </c>
      <c r="B38" s="16" t="s">
        <v>93</v>
      </c>
      <c r="C38" s="12" t="s">
        <v>242</v>
      </c>
      <c r="D38" s="1" t="s">
        <v>115</v>
      </c>
      <c r="E38" s="2">
        <f>(F38+G38)/H38</f>
        <v>0.15526597517139676</v>
      </c>
      <c r="F38" s="3">
        <v>23163</v>
      </c>
      <c r="G38" s="3">
        <v>86336</v>
      </c>
      <c r="H38" s="49">
        <v>705235</v>
      </c>
      <c r="I38" s="3">
        <f>282383*0.92537</f>
        <v>261308.75671000002</v>
      </c>
      <c r="J38" s="3">
        <f t="shared" si="0"/>
        <v>443926.24329000001</v>
      </c>
      <c r="K38" s="22" t="s">
        <v>21</v>
      </c>
      <c r="L38" s="22" t="s">
        <v>187</v>
      </c>
      <c r="M38" s="47" t="s">
        <v>210</v>
      </c>
    </row>
    <row r="39" spans="1:13" s="48" customFormat="1" ht="94.5" customHeight="1">
      <c r="A39" s="46">
        <v>35</v>
      </c>
      <c r="B39" s="16" t="s">
        <v>93</v>
      </c>
      <c r="C39" s="1" t="s">
        <v>300</v>
      </c>
      <c r="D39" s="1" t="s">
        <v>199</v>
      </c>
      <c r="E39" s="2">
        <f>(F39+G39)/H39</f>
        <v>0.1474388623726812</v>
      </c>
      <c r="F39" s="3">
        <v>8138</v>
      </c>
      <c r="G39" s="3">
        <v>6844</v>
      </c>
      <c r="H39" s="3">
        <v>101615</v>
      </c>
      <c r="I39" s="3">
        <v>22941</v>
      </c>
      <c r="J39" s="3">
        <f t="shared" si="0"/>
        <v>78674</v>
      </c>
      <c r="K39" s="22" t="s">
        <v>220</v>
      </c>
      <c r="L39" s="22" t="s">
        <v>221</v>
      </c>
      <c r="M39" s="47" t="s">
        <v>210</v>
      </c>
    </row>
    <row r="40" spans="1:13" s="48" customFormat="1" ht="86.25" customHeight="1">
      <c r="A40" s="46">
        <v>36</v>
      </c>
      <c r="B40" s="16" t="s">
        <v>93</v>
      </c>
      <c r="C40" s="12" t="s">
        <v>257</v>
      </c>
      <c r="D40" s="1" t="s">
        <v>71</v>
      </c>
      <c r="E40" s="2" t="s">
        <v>109</v>
      </c>
      <c r="F40" s="3">
        <v>0</v>
      </c>
      <c r="G40" s="3">
        <v>0</v>
      </c>
      <c r="H40" s="3">
        <v>4117</v>
      </c>
      <c r="I40" s="3">
        <f>9240*0.27168</f>
        <v>2510.3231999999998</v>
      </c>
      <c r="J40" s="3">
        <f t="shared" si="0"/>
        <v>1606.6768000000002</v>
      </c>
      <c r="K40" s="24" t="s">
        <v>18</v>
      </c>
      <c r="L40" s="24" t="s">
        <v>110</v>
      </c>
      <c r="M40" s="47" t="s">
        <v>210</v>
      </c>
    </row>
    <row r="41" spans="1:13" s="48" customFormat="1" ht="109.5" customHeight="1">
      <c r="A41" s="46">
        <v>37</v>
      </c>
      <c r="B41" s="16" t="s">
        <v>93</v>
      </c>
      <c r="C41" s="1" t="s">
        <v>243</v>
      </c>
      <c r="D41" s="1" t="s">
        <v>200</v>
      </c>
      <c r="E41" s="2">
        <f t="shared" ref="E41:E48" si="2">(F41+G41)/H41</f>
        <v>0.40402412871707244</v>
      </c>
      <c r="F41" s="3">
        <v>70458</v>
      </c>
      <c r="G41" s="3">
        <v>3</v>
      </c>
      <c r="H41" s="3">
        <v>174398</v>
      </c>
      <c r="I41" s="3">
        <v>86795</v>
      </c>
      <c r="J41" s="3">
        <f t="shared" si="0"/>
        <v>87603</v>
      </c>
      <c r="K41" s="22" t="s">
        <v>222</v>
      </c>
      <c r="L41" s="22" t="s">
        <v>223</v>
      </c>
      <c r="M41" s="47" t="s">
        <v>210</v>
      </c>
    </row>
    <row r="42" spans="1:13" s="48" customFormat="1" ht="92.25" customHeight="1">
      <c r="A42" s="46">
        <v>38</v>
      </c>
      <c r="B42" s="16" t="s">
        <v>93</v>
      </c>
      <c r="C42" s="12" t="s">
        <v>74</v>
      </c>
      <c r="D42" s="12" t="s">
        <v>116</v>
      </c>
      <c r="E42" s="2">
        <f t="shared" si="2"/>
        <v>0.40229469664417689</v>
      </c>
      <c r="F42" s="3">
        <v>141374</v>
      </c>
      <c r="G42" s="3">
        <v>0</v>
      </c>
      <c r="H42" s="3">
        <v>351419</v>
      </c>
      <c r="I42" s="3">
        <v>33499</v>
      </c>
      <c r="J42" s="3">
        <f t="shared" si="0"/>
        <v>317920</v>
      </c>
      <c r="K42" s="18" t="s">
        <v>67</v>
      </c>
      <c r="L42" s="18" t="s">
        <v>110</v>
      </c>
      <c r="M42" s="47" t="s">
        <v>210</v>
      </c>
    </row>
    <row r="43" spans="1:13" s="48" customFormat="1" ht="67.5" customHeight="1">
      <c r="A43" s="46">
        <v>39</v>
      </c>
      <c r="B43" s="16" t="s">
        <v>93</v>
      </c>
      <c r="C43" s="12" t="s">
        <v>83</v>
      </c>
      <c r="D43" s="12" t="s">
        <v>143</v>
      </c>
      <c r="E43" s="2">
        <f>(F43+G43)/H43</f>
        <v>0.96679959195029208</v>
      </c>
      <c r="F43" s="3">
        <v>31275</v>
      </c>
      <c r="G43" s="3">
        <v>0</v>
      </c>
      <c r="H43" s="3">
        <v>32349</v>
      </c>
      <c r="I43" s="3">
        <v>8375</v>
      </c>
      <c r="J43" s="3">
        <f t="shared" si="0"/>
        <v>23974</v>
      </c>
      <c r="K43" s="22" t="s">
        <v>61</v>
      </c>
      <c r="L43" s="22" t="s">
        <v>110</v>
      </c>
      <c r="M43" s="47" t="s">
        <v>210</v>
      </c>
    </row>
    <row r="44" spans="1:13" s="48" customFormat="1" ht="107.25" customHeight="1">
      <c r="A44" s="46">
        <v>40</v>
      </c>
      <c r="B44" s="16" t="s">
        <v>93</v>
      </c>
      <c r="C44" s="1" t="s">
        <v>260</v>
      </c>
      <c r="D44" s="1" t="s">
        <v>139</v>
      </c>
      <c r="E44" s="2">
        <f t="shared" si="2"/>
        <v>0.49469839937950605</v>
      </c>
      <c r="F44" s="3">
        <v>310359</v>
      </c>
      <c r="G44" s="3">
        <v>9185</v>
      </c>
      <c r="H44" s="3">
        <v>645937</v>
      </c>
      <c r="I44" s="3">
        <f>327959*0.9542</f>
        <v>312938.47779999999</v>
      </c>
      <c r="J44" s="3">
        <f t="shared" si="0"/>
        <v>332998.52220000001</v>
      </c>
      <c r="K44" s="22" t="s">
        <v>299</v>
      </c>
      <c r="L44" s="22" t="s">
        <v>110</v>
      </c>
      <c r="M44" s="47" t="s">
        <v>210</v>
      </c>
    </row>
    <row r="45" spans="1:13" s="48" customFormat="1" ht="105.75" customHeight="1">
      <c r="A45" s="46">
        <v>41</v>
      </c>
      <c r="B45" s="16" t="s">
        <v>93</v>
      </c>
      <c r="C45" s="1" t="s">
        <v>310</v>
      </c>
      <c r="D45" s="1" t="s">
        <v>311</v>
      </c>
      <c r="E45" s="2" t="s">
        <v>311</v>
      </c>
      <c r="F45" s="3" t="s">
        <v>311</v>
      </c>
      <c r="G45" s="3" t="s">
        <v>311</v>
      </c>
      <c r="H45" s="3" t="s">
        <v>311</v>
      </c>
      <c r="I45" s="3" t="s">
        <v>311</v>
      </c>
      <c r="J45" s="3" t="s">
        <v>109</v>
      </c>
      <c r="K45" s="22" t="s">
        <v>312</v>
      </c>
      <c r="L45" s="22" t="s">
        <v>311</v>
      </c>
      <c r="M45" s="47" t="s">
        <v>311</v>
      </c>
    </row>
    <row r="46" spans="1:13" s="48" customFormat="1" ht="92.25" customHeight="1">
      <c r="A46" s="46">
        <v>42</v>
      </c>
      <c r="B46" s="16" t="s">
        <v>93</v>
      </c>
      <c r="C46" s="12" t="s">
        <v>144</v>
      </c>
      <c r="D46" s="12" t="s">
        <v>145</v>
      </c>
      <c r="E46" s="2">
        <f t="shared" si="2"/>
        <v>0.91959345002823267</v>
      </c>
      <c r="F46" s="3">
        <v>32359</v>
      </c>
      <c r="G46" s="3">
        <v>213</v>
      </c>
      <c r="H46" s="3">
        <v>35420</v>
      </c>
      <c r="I46" s="3">
        <v>13203</v>
      </c>
      <c r="J46" s="3">
        <f t="shared" si="0"/>
        <v>22217</v>
      </c>
      <c r="K46" s="22" t="s">
        <v>35</v>
      </c>
      <c r="L46" s="22" t="s">
        <v>45</v>
      </c>
      <c r="M46" s="47" t="s">
        <v>210</v>
      </c>
    </row>
    <row r="47" spans="1:13" s="50" customFormat="1" ht="182.25" customHeight="1">
      <c r="A47" s="46">
        <v>43</v>
      </c>
      <c r="B47" s="16" t="s">
        <v>98</v>
      </c>
      <c r="C47" s="12" t="s">
        <v>7</v>
      </c>
      <c r="D47" s="1" t="s">
        <v>127</v>
      </c>
      <c r="E47" s="2">
        <f>(F47+G47)/H47</f>
        <v>0.35769005541655147</v>
      </c>
      <c r="F47" s="3">
        <v>365061</v>
      </c>
      <c r="G47" s="3">
        <v>51517</v>
      </c>
      <c r="H47" s="3">
        <v>1164634</v>
      </c>
      <c r="I47" s="3">
        <v>385327</v>
      </c>
      <c r="J47" s="3">
        <f t="shared" si="0"/>
        <v>779307</v>
      </c>
      <c r="K47" s="24" t="s">
        <v>296</v>
      </c>
      <c r="L47" s="22" t="s">
        <v>128</v>
      </c>
      <c r="M47" s="47" t="s">
        <v>210</v>
      </c>
    </row>
    <row r="48" spans="1:13" s="50" customFormat="1" ht="180" customHeight="1">
      <c r="A48" s="46">
        <v>44</v>
      </c>
      <c r="B48" s="16" t="s">
        <v>98</v>
      </c>
      <c r="C48" s="12" t="s">
        <v>8</v>
      </c>
      <c r="D48" s="1" t="s">
        <v>89</v>
      </c>
      <c r="E48" s="2">
        <f t="shared" si="2"/>
        <v>0.12235377513492106</v>
      </c>
      <c r="F48" s="3">
        <v>67966</v>
      </c>
      <c r="G48" s="3">
        <v>17301</v>
      </c>
      <c r="H48" s="3">
        <v>696889</v>
      </c>
      <c r="I48" s="3">
        <v>248455</v>
      </c>
      <c r="J48" s="3">
        <f t="shared" si="0"/>
        <v>448434</v>
      </c>
      <c r="K48" s="58" t="s">
        <v>317</v>
      </c>
      <c r="L48" s="22" t="s">
        <v>128</v>
      </c>
      <c r="M48" s="47" t="s">
        <v>210</v>
      </c>
    </row>
    <row r="49" spans="1:13" s="50" customFormat="1" ht="127.5" customHeight="1">
      <c r="A49" s="46">
        <v>45</v>
      </c>
      <c r="B49" s="16" t="s">
        <v>98</v>
      </c>
      <c r="C49" s="12" t="s">
        <v>9</v>
      </c>
      <c r="D49" s="1" t="s">
        <v>89</v>
      </c>
      <c r="E49" s="2" t="s">
        <v>109</v>
      </c>
      <c r="F49" s="3">
        <v>664</v>
      </c>
      <c r="G49" s="3">
        <v>0</v>
      </c>
      <c r="H49" s="3">
        <v>421951</v>
      </c>
      <c r="I49" s="3">
        <v>212158</v>
      </c>
      <c r="J49" s="3">
        <f t="shared" si="0"/>
        <v>209793</v>
      </c>
      <c r="K49" s="24" t="s">
        <v>18</v>
      </c>
      <c r="L49" s="24" t="s">
        <v>110</v>
      </c>
      <c r="M49" s="47" t="s">
        <v>210</v>
      </c>
    </row>
    <row r="50" spans="1:13" s="48" customFormat="1" ht="136.5" customHeight="1">
      <c r="A50" s="46">
        <v>46</v>
      </c>
      <c r="B50" s="16" t="s">
        <v>98</v>
      </c>
      <c r="C50" s="12" t="s">
        <v>247</v>
      </c>
      <c r="D50" s="1" t="s">
        <v>124</v>
      </c>
      <c r="E50" s="2">
        <f t="shared" ref="E50:E58" si="3">(F50+G50)/H50</f>
        <v>0.75012933264355919</v>
      </c>
      <c r="F50" s="3">
        <v>2750</v>
      </c>
      <c r="G50" s="3">
        <v>150</v>
      </c>
      <c r="H50" s="3">
        <v>3866</v>
      </c>
      <c r="I50" s="3">
        <v>3280</v>
      </c>
      <c r="J50" s="3">
        <f t="shared" si="0"/>
        <v>586</v>
      </c>
      <c r="K50" s="17" t="s">
        <v>26</v>
      </c>
      <c r="L50" s="18" t="s">
        <v>53</v>
      </c>
      <c r="M50" s="47" t="s">
        <v>210</v>
      </c>
    </row>
    <row r="51" spans="1:13" s="48" customFormat="1" ht="125.25" customHeight="1">
      <c r="A51" s="46">
        <v>47</v>
      </c>
      <c r="B51" s="16" t="s">
        <v>98</v>
      </c>
      <c r="C51" s="12" t="s">
        <v>248</v>
      </c>
      <c r="D51" s="1" t="s">
        <v>124</v>
      </c>
      <c r="E51" s="2">
        <f t="shared" si="3"/>
        <v>0.16192437289404718</v>
      </c>
      <c r="F51" s="3">
        <v>2595</v>
      </c>
      <c r="G51" s="3">
        <v>0</v>
      </c>
      <c r="H51" s="3">
        <v>16026</v>
      </c>
      <c r="I51" s="3">
        <v>4373</v>
      </c>
      <c r="J51" s="3">
        <f t="shared" si="0"/>
        <v>11653</v>
      </c>
      <c r="K51" s="17" t="s">
        <v>26</v>
      </c>
      <c r="L51" s="18" t="s">
        <v>209</v>
      </c>
      <c r="M51" s="47" t="s">
        <v>210</v>
      </c>
    </row>
    <row r="52" spans="1:13" s="48" customFormat="1" ht="81.75" customHeight="1">
      <c r="A52" s="46">
        <v>48</v>
      </c>
      <c r="B52" s="16" t="s">
        <v>98</v>
      </c>
      <c r="C52" s="12" t="s">
        <v>235</v>
      </c>
      <c r="D52" s="1" t="s">
        <v>124</v>
      </c>
      <c r="E52" s="2">
        <f>(F52+G52)/H52</f>
        <v>0.82974079126875855</v>
      </c>
      <c r="F52" s="3">
        <v>3587</v>
      </c>
      <c r="G52" s="3">
        <v>2495</v>
      </c>
      <c r="H52" s="3">
        <v>7330</v>
      </c>
      <c r="I52" s="3">
        <v>5023</v>
      </c>
      <c r="J52" s="3">
        <f>H52-I52</f>
        <v>2307</v>
      </c>
      <c r="K52" s="22" t="s">
        <v>205</v>
      </c>
      <c r="L52" s="18" t="s">
        <v>110</v>
      </c>
      <c r="M52" s="47" t="s">
        <v>210</v>
      </c>
    </row>
    <row r="53" spans="1:13" s="48" customFormat="1" ht="132.75" customHeight="1">
      <c r="A53" s="46">
        <v>49</v>
      </c>
      <c r="B53" s="16" t="s">
        <v>98</v>
      </c>
      <c r="C53" s="12" t="s">
        <v>249</v>
      </c>
      <c r="D53" s="12" t="s">
        <v>124</v>
      </c>
      <c r="E53" s="2" t="e">
        <f t="shared" si="3"/>
        <v>#DIV/0!</v>
      </c>
      <c r="F53" s="3"/>
      <c r="G53" s="3"/>
      <c r="H53" s="3"/>
      <c r="I53" s="3"/>
      <c r="J53" s="3">
        <f t="shared" si="0"/>
        <v>0</v>
      </c>
      <c r="K53" s="24" t="s">
        <v>27</v>
      </c>
      <c r="L53" s="22" t="s">
        <v>53</v>
      </c>
      <c r="M53" s="47" t="s">
        <v>210</v>
      </c>
    </row>
    <row r="54" spans="1:13" s="48" customFormat="1" ht="90" customHeight="1">
      <c r="A54" s="46">
        <v>50</v>
      </c>
      <c r="B54" s="16" t="s">
        <v>98</v>
      </c>
      <c r="C54" s="12" t="s">
        <v>69</v>
      </c>
      <c r="D54" s="12" t="s">
        <v>236</v>
      </c>
      <c r="E54" s="2">
        <f t="shared" si="3"/>
        <v>0.29203680203045684</v>
      </c>
      <c r="F54" s="3">
        <v>1839</v>
      </c>
      <c r="G54" s="3">
        <v>2</v>
      </c>
      <c r="H54" s="3">
        <v>6304</v>
      </c>
      <c r="I54" s="3">
        <v>3533</v>
      </c>
      <c r="J54" s="3">
        <f t="shared" si="0"/>
        <v>2771</v>
      </c>
      <c r="K54" s="22" t="s">
        <v>70</v>
      </c>
      <c r="L54" s="24" t="s">
        <v>208</v>
      </c>
      <c r="M54" s="47" t="s">
        <v>210</v>
      </c>
    </row>
    <row r="55" spans="1:13" s="48" customFormat="1" ht="84.75" customHeight="1">
      <c r="A55" s="46">
        <v>51</v>
      </c>
      <c r="B55" s="16" t="s">
        <v>99</v>
      </c>
      <c r="C55" s="1" t="s">
        <v>13</v>
      </c>
      <c r="D55" s="1" t="s">
        <v>87</v>
      </c>
      <c r="E55" s="2">
        <f t="shared" si="3"/>
        <v>0.56783158846124882</v>
      </c>
      <c r="F55" s="3">
        <v>72679</v>
      </c>
      <c r="G55" s="3">
        <v>2712</v>
      </c>
      <c r="H55" s="3">
        <v>132770</v>
      </c>
      <c r="I55" s="3">
        <v>47446</v>
      </c>
      <c r="J55" s="3">
        <f t="shared" si="0"/>
        <v>85324</v>
      </c>
      <c r="K55" s="22" t="s">
        <v>66</v>
      </c>
      <c r="L55" s="22" t="s">
        <v>91</v>
      </c>
      <c r="M55" s="47" t="s">
        <v>210</v>
      </c>
    </row>
    <row r="56" spans="1:13" s="48" customFormat="1" ht="96.75" customHeight="1">
      <c r="A56" s="46">
        <v>52</v>
      </c>
      <c r="B56" s="16" t="s">
        <v>99</v>
      </c>
      <c r="C56" s="1" t="s">
        <v>12</v>
      </c>
      <c r="D56" s="1" t="s">
        <v>88</v>
      </c>
      <c r="E56" s="2">
        <f t="shared" si="3"/>
        <v>0.87099811676082861</v>
      </c>
      <c r="F56" s="3">
        <v>896</v>
      </c>
      <c r="G56" s="3">
        <v>29</v>
      </c>
      <c r="H56" s="3">
        <v>1062</v>
      </c>
      <c r="I56" s="3">
        <v>630</v>
      </c>
      <c r="J56" s="3">
        <f t="shared" si="0"/>
        <v>432</v>
      </c>
      <c r="K56" s="17" t="s">
        <v>31</v>
      </c>
      <c r="L56" s="18" t="s">
        <v>186</v>
      </c>
      <c r="M56" s="47" t="s">
        <v>210</v>
      </c>
    </row>
    <row r="57" spans="1:13" s="48" customFormat="1" ht="100.5" customHeight="1">
      <c r="A57" s="46">
        <v>53</v>
      </c>
      <c r="B57" s="16" t="s">
        <v>99</v>
      </c>
      <c r="C57" s="1" t="s">
        <v>11</v>
      </c>
      <c r="D57" s="1" t="s">
        <v>88</v>
      </c>
      <c r="E57" s="2">
        <f t="shared" si="3"/>
        <v>0.90386427898209232</v>
      </c>
      <c r="F57" s="3">
        <v>4795</v>
      </c>
      <c r="G57" s="3">
        <v>0</v>
      </c>
      <c r="H57" s="3">
        <v>5305</v>
      </c>
      <c r="I57" s="3">
        <v>3151</v>
      </c>
      <c r="J57" s="3">
        <f t="shared" si="0"/>
        <v>2154</v>
      </c>
      <c r="K57" s="24" t="s">
        <v>30</v>
      </c>
      <c r="L57" s="24" t="s">
        <v>110</v>
      </c>
      <c r="M57" s="47" t="s">
        <v>210</v>
      </c>
    </row>
    <row r="58" spans="1:13" s="48" customFormat="1" ht="86.25" customHeight="1">
      <c r="A58" s="46">
        <v>54</v>
      </c>
      <c r="B58" s="16" t="s">
        <v>99</v>
      </c>
      <c r="C58" s="1" t="s">
        <v>185</v>
      </c>
      <c r="D58" s="1" t="s">
        <v>142</v>
      </c>
      <c r="E58" s="2">
        <f t="shared" si="3"/>
        <v>1.09596398736476</v>
      </c>
      <c r="F58" s="3">
        <v>199152</v>
      </c>
      <c r="G58" s="3">
        <v>0</v>
      </c>
      <c r="H58" s="3">
        <v>181714</v>
      </c>
      <c r="I58" s="3">
        <v>100723</v>
      </c>
      <c r="J58" s="3">
        <f t="shared" si="0"/>
        <v>80991</v>
      </c>
      <c r="K58" s="24" t="s">
        <v>32</v>
      </c>
      <c r="L58" s="24" t="s">
        <v>110</v>
      </c>
      <c r="M58" s="47" t="s">
        <v>210</v>
      </c>
    </row>
    <row r="59" spans="1:13" s="48" customFormat="1" ht="85.5" customHeight="1">
      <c r="A59" s="46">
        <v>55</v>
      </c>
      <c r="B59" s="16" t="s">
        <v>92</v>
      </c>
      <c r="C59" s="12" t="s">
        <v>0</v>
      </c>
      <c r="D59" s="1" t="s">
        <v>37</v>
      </c>
      <c r="E59" s="2" t="s">
        <v>109</v>
      </c>
      <c r="F59" s="3">
        <v>0</v>
      </c>
      <c r="G59" s="3">
        <v>0</v>
      </c>
      <c r="H59" s="3">
        <v>33675</v>
      </c>
      <c r="I59" s="3">
        <v>20145</v>
      </c>
      <c r="J59" s="3">
        <f t="shared" si="0"/>
        <v>13530</v>
      </c>
      <c r="K59" s="17" t="s">
        <v>18</v>
      </c>
      <c r="L59" s="17" t="s">
        <v>110</v>
      </c>
      <c r="M59" s="47" t="s">
        <v>210</v>
      </c>
    </row>
    <row r="60" spans="1:13" s="48" customFormat="1" ht="107.25" customHeight="1">
      <c r="A60" s="46">
        <v>56</v>
      </c>
      <c r="B60" s="16" t="s">
        <v>95</v>
      </c>
      <c r="C60" s="1" t="s">
        <v>250</v>
      </c>
      <c r="D60" s="12" t="s">
        <v>120</v>
      </c>
      <c r="E60" s="2">
        <f>(F60+G60)/H60</f>
        <v>0.23597946287519747</v>
      </c>
      <c r="F60" s="3">
        <v>3525</v>
      </c>
      <c r="G60" s="57">
        <v>60</v>
      </c>
      <c r="H60" s="3">
        <v>15192</v>
      </c>
      <c r="I60" s="3">
        <f>10557*0.9727</f>
        <v>10268.793900000001</v>
      </c>
      <c r="J60" s="3">
        <f t="shared" si="0"/>
        <v>4923.2060999999994</v>
      </c>
      <c r="K60" s="22" t="s">
        <v>62</v>
      </c>
      <c r="L60" s="22" t="s">
        <v>110</v>
      </c>
      <c r="M60" s="47" t="s">
        <v>210</v>
      </c>
    </row>
    <row r="61" spans="1:13" s="48" customFormat="1" ht="125.25" customHeight="1">
      <c r="A61" s="46">
        <v>57</v>
      </c>
      <c r="B61" s="16" t="s">
        <v>96</v>
      </c>
      <c r="C61" s="1" t="s">
        <v>1</v>
      </c>
      <c r="D61" s="1" t="s">
        <v>121</v>
      </c>
      <c r="E61" s="2">
        <f>(F61+G61)/H61</f>
        <v>0.2107336697771853</v>
      </c>
      <c r="F61" s="3">
        <v>17705</v>
      </c>
      <c r="G61" s="3">
        <v>0</v>
      </c>
      <c r="H61" s="3">
        <v>84016</v>
      </c>
      <c r="I61" s="3">
        <v>30411</v>
      </c>
      <c r="J61" s="3">
        <f t="shared" si="0"/>
        <v>53605</v>
      </c>
      <c r="K61" s="22" t="s">
        <v>224</v>
      </c>
      <c r="L61" s="22" t="s">
        <v>110</v>
      </c>
      <c r="M61" s="47" t="s">
        <v>210</v>
      </c>
    </row>
    <row r="62" spans="1:13" s="48" customFormat="1" ht="123" customHeight="1">
      <c r="A62" s="46">
        <v>58</v>
      </c>
      <c r="B62" s="16" t="s">
        <v>96</v>
      </c>
      <c r="C62" s="1" t="s">
        <v>2</v>
      </c>
      <c r="D62" s="1" t="s">
        <v>121</v>
      </c>
      <c r="E62" s="2">
        <f>(F62+G62)/H62</f>
        <v>0.3162936692348457</v>
      </c>
      <c r="F62" s="3">
        <v>38795</v>
      </c>
      <c r="G62" s="3">
        <v>0</v>
      </c>
      <c r="H62" s="3">
        <v>122655</v>
      </c>
      <c r="I62" s="3">
        <v>37055</v>
      </c>
      <c r="J62" s="3">
        <f t="shared" si="0"/>
        <v>85600</v>
      </c>
      <c r="K62" s="22" t="s">
        <v>225</v>
      </c>
      <c r="L62" s="22" t="s">
        <v>110</v>
      </c>
      <c r="M62" s="47" t="s">
        <v>210</v>
      </c>
    </row>
    <row r="63" spans="1:13" s="48" customFormat="1" ht="97.5" customHeight="1">
      <c r="A63" s="46">
        <v>59</v>
      </c>
      <c r="B63" s="16" t="s">
        <v>96</v>
      </c>
      <c r="C63" s="12" t="s">
        <v>259</v>
      </c>
      <c r="D63" s="1" t="s">
        <v>230</v>
      </c>
      <c r="E63" s="2" t="s">
        <v>109</v>
      </c>
      <c r="F63" s="3">
        <v>0</v>
      </c>
      <c r="G63" s="3">
        <v>0</v>
      </c>
      <c r="H63" s="3">
        <f>8975*0.89111</f>
        <v>7997.7122499999996</v>
      </c>
      <c r="I63" s="3">
        <f>5517*0.89111</f>
        <v>4916.2538699999996</v>
      </c>
      <c r="J63" s="3">
        <f t="shared" si="0"/>
        <v>3081.45838</v>
      </c>
      <c r="K63" s="22" t="s">
        <v>18</v>
      </c>
      <c r="L63" s="22" t="s">
        <v>110</v>
      </c>
      <c r="M63" s="47" t="s">
        <v>210</v>
      </c>
    </row>
    <row r="64" spans="1:13" s="48" customFormat="1" ht="108.75" customHeight="1">
      <c r="A64" s="46">
        <v>60</v>
      </c>
      <c r="B64" s="16" t="s">
        <v>96</v>
      </c>
      <c r="C64" s="12" t="s">
        <v>315</v>
      </c>
      <c r="D64" s="12" t="s">
        <v>146</v>
      </c>
      <c r="E64" s="2">
        <f>(F64+G64)/H64</f>
        <v>0.37738320979141526</v>
      </c>
      <c r="F64" s="3">
        <v>32838</v>
      </c>
      <c r="G64" s="3">
        <v>0</v>
      </c>
      <c r="H64" s="3">
        <v>87015</v>
      </c>
      <c r="I64" s="3">
        <v>31903</v>
      </c>
      <c r="J64" s="3">
        <f t="shared" si="0"/>
        <v>55112</v>
      </c>
      <c r="K64" s="22" t="s">
        <v>226</v>
      </c>
      <c r="L64" s="22" t="s">
        <v>110</v>
      </c>
      <c r="M64" s="47" t="s">
        <v>210</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customSheetView>
    <customSheetView guid="{7B95FA94-D01D-4528-A96E-188FD548573A}"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6"/>
      <headerFooter alignWithMargins="0"/>
      <autoFilter ref="B1:L1"/>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3"/>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5"/>
      <headerFooter alignWithMargins="0"/>
      <autoFilter ref="B1:L1"/>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6"/>
      <headerFooter alignWithMargins="0"/>
      <autoFilter ref="B1:L1"/>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customSheetView>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9"/>
      <headerFooter alignWithMargins="0"/>
      <autoFilter ref="B1:L1"/>
    </customSheetView>
    <customSheetView guid="{7F5C8E7A-36EF-49B6-8AD1-0AE683E12EE0}"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customSheetView>
    <customSheetView guid="{AC5D4131-12C8-4117-9087-BAF7435F9B53}"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customSheetView>
    <customSheetView guid="{2DE5E7C6-AE47-4EE6-8A44-2588C73E339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2"/>
      <headerFooter alignWithMargins="0"/>
      <autoFilter ref="B1:L1"/>
    </customSheetView>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4"/>
  <headerFooter alignWithMargins="0"/>
  <drawing r:id="rId35"/>
  <legacyDrawing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237</v>
      </c>
    </row>
    <row r="2" spans="1:13" ht="51" customHeight="1">
      <c r="A2" s="15"/>
      <c r="B2" s="15"/>
      <c r="C2" s="15"/>
      <c r="D2" s="15"/>
      <c r="E2" s="15"/>
      <c r="F2" s="15"/>
      <c r="G2" s="15"/>
      <c r="H2" s="15"/>
      <c r="I2" s="13"/>
      <c r="J2" s="13"/>
      <c r="K2" s="14"/>
      <c r="L2" s="14"/>
      <c r="M2" s="26"/>
    </row>
    <row r="3" spans="1:13" ht="42.75" customHeight="1">
      <c r="A3" s="144"/>
      <c r="B3" s="145" t="s">
        <v>103</v>
      </c>
      <c r="C3" s="145" t="s">
        <v>73</v>
      </c>
      <c r="D3" s="19"/>
      <c r="E3" s="148" t="s">
        <v>238</v>
      </c>
      <c r="F3" s="143" t="s">
        <v>106</v>
      </c>
      <c r="G3" s="143" t="s">
        <v>105</v>
      </c>
      <c r="H3" s="138" t="s">
        <v>104</v>
      </c>
      <c r="I3" s="28" t="s">
        <v>16</v>
      </c>
      <c r="J3" s="29"/>
      <c r="K3" s="140" t="s">
        <v>17</v>
      </c>
      <c r="L3" s="141" t="s">
        <v>38</v>
      </c>
      <c r="M3" s="143" t="s">
        <v>90</v>
      </c>
    </row>
    <row r="4" spans="1:13" ht="34.5" customHeight="1">
      <c r="A4" s="144"/>
      <c r="B4" s="145"/>
      <c r="C4" s="145"/>
      <c r="D4" s="20" t="s">
        <v>36</v>
      </c>
      <c r="E4" s="149"/>
      <c r="F4" s="140"/>
      <c r="G4" s="140"/>
      <c r="H4" s="139"/>
      <c r="I4" s="21" t="s">
        <v>14</v>
      </c>
      <c r="J4" s="21" t="s">
        <v>15</v>
      </c>
      <c r="K4" s="140"/>
      <c r="L4" s="142"/>
      <c r="M4" s="143"/>
    </row>
    <row r="5" spans="1:13" s="48" customFormat="1" ht="90" customHeight="1">
      <c r="A5" s="46">
        <v>1</v>
      </c>
      <c r="B5" s="16" t="s">
        <v>102</v>
      </c>
      <c r="C5" s="12" t="s">
        <v>80</v>
      </c>
      <c r="D5" s="1" t="s">
        <v>229</v>
      </c>
      <c r="E5" s="2">
        <f>(F5+G5)/H5</f>
        <v>0.3318127511675899</v>
      </c>
      <c r="F5" s="3">
        <v>7020</v>
      </c>
      <c r="G5" s="3">
        <v>2145</v>
      </c>
      <c r="H5" s="3">
        <v>27621</v>
      </c>
      <c r="I5" s="3">
        <v>16206</v>
      </c>
      <c r="J5" s="3">
        <f t="shared" ref="J5:J36" si="0">H5-I5</f>
        <v>11415</v>
      </c>
      <c r="K5" s="22" t="s">
        <v>34</v>
      </c>
      <c r="L5" s="22" t="s">
        <v>52</v>
      </c>
      <c r="M5" s="47" t="s">
        <v>210</v>
      </c>
    </row>
    <row r="6" spans="1:13" s="48" customFormat="1" ht="117" customHeight="1">
      <c r="A6" s="46">
        <v>2</v>
      </c>
      <c r="B6" s="16" t="s">
        <v>102</v>
      </c>
      <c r="C6" s="12" t="s">
        <v>81</v>
      </c>
      <c r="D6" s="1" t="s">
        <v>126</v>
      </c>
      <c r="E6" s="2">
        <f>(F6+G6)/H6</f>
        <v>0.53929147279679368</v>
      </c>
      <c r="F6" s="4">
        <v>57987</v>
      </c>
      <c r="G6" s="4">
        <v>545</v>
      </c>
      <c r="H6" s="4">
        <v>108535</v>
      </c>
      <c r="I6" s="4">
        <v>44722</v>
      </c>
      <c r="J6" s="4">
        <f t="shared" si="0"/>
        <v>63813</v>
      </c>
      <c r="K6" s="22" t="s">
        <v>60</v>
      </c>
      <c r="L6" s="22" t="s">
        <v>203</v>
      </c>
      <c r="M6" s="47" t="s">
        <v>210</v>
      </c>
    </row>
    <row r="7" spans="1:13" s="48" customFormat="1" ht="95.25" customHeight="1">
      <c r="A7" s="46">
        <v>3</v>
      </c>
      <c r="B7" s="16" t="s">
        <v>100</v>
      </c>
      <c r="C7" s="12" t="s">
        <v>246</v>
      </c>
      <c r="D7" s="1" t="s">
        <v>126</v>
      </c>
      <c r="E7" s="2">
        <f>(F7+G7)/H7</f>
        <v>0.27108994928061275</v>
      </c>
      <c r="F7" s="4">
        <v>6519</v>
      </c>
      <c r="G7" s="4">
        <v>1338</v>
      </c>
      <c r="H7" s="4">
        <v>28983</v>
      </c>
      <c r="I7" s="4">
        <f>16168*0.74747</f>
        <v>12085.09496</v>
      </c>
      <c r="J7" s="4">
        <f t="shared" si="0"/>
        <v>16897.905039999998</v>
      </c>
      <c r="K7" s="22" t="s">
        <v>33</v>
      </c>
      <c r="L7" s="22" t="s">
        <v>147</v>
      </c>
      <c r="M7" s="47" t="s">
        <v>210</v>
      </c>
    </row>
    <row r="8" spans="1:13" s="48" customFormat="1" ht="163.5" customHeight="1">
      <c r="A8" s="46">
        <v>4</v>
      </c>
      <c r="B8" s="16" t="s">
        <v>100</v>
      </c>
      <c r="C8" s="12" t="s">
        <v>75</v>
      </c>
      <c r="D8" s="1" t="s">
        <v>126</v>
      </c>
      <c r="E8" s="2">
        <f>(F8+G8)/H8</f>
        <v>0.68467882668089408</v>
      </c>
      <c r="F8" s="4">
        <v>119801</v>
      </c>
      <c r="G8" s="4">
        <v>3396</v>
      </c>
      <c r="H8" s="51">
        <v>179934</v>
      </c>
      <c r="I8" s="51">
        <v>49217</v>
      </c>
      <c r="J8" s="51">
        <f t="shared" si="0"/>
        <v>130717</v>
      </c>
      <c r="K8" s="23" t="s">
        <v>198</v>
      </c>
      <c r="L8" s="23" t="s">
        <v>150</v>
      </c>
      <c r="M8" s="47" t="s">
        <v>210</v>
      </c>
    </row>
    <row r="9" spans="1:13" s="48" customFormat="1" ht="95.25" customHeight="1">
      <c r="A9" s="46">
        <v>5</v>
      </c>
      <c r="B9" s="16" t="s">
        <v>100</v>
      </c>
      <c r="C9" s="12" t="s">
        <v>125</v>
      </c>
      <c r="D9" s="1" t="s">
        <v>230</v>
      </c>
      <c r="E9" s="52" t="s">
        <v>109</v>
      </c>
      <c r="F9" s="3">
        <v>0</v>
      </c>
      <c r="G9" s="3">
        <v>0</v>
      </c>
      <c r="H9" s="3">
        <v>8864</v>
      </c>
      <c r="I9" s="3">
        <v>4371</v>
      </c>
      <c r="J9" s="3">
        <f t="shared" si="0"/>
        <v>4493</v>
      </c>
      <c r="K9" s="24" t="s">
        <v>18</v>
      </c>
      <c r="L9" s="24" t="s">
        <v>110</v>
      </c>
      <c r="M9" s="47" t="s">
        <v>210</v>
      </c>
    </row>
    <row r="10" spans="1:13" s="48" customFormat="1" ht="106.5" customHeight="1">
      <c r="A10" s="46">
        <v>6</v>
      </c>
      <c r="B10" s="16" t="s">
        <v>295</v>
      </c>
      <c r="C10" s="1" t="s">
        <v>240</v>
      </c>
      <c r="D10" s="12" t="s">
        <v>132</v>
      </c>
      <c r="E10" s="2">
        <f>(F10+G10)/H10</f>
        <v>0.223836945266944</v>
      </c>
      <c r="F10" s="3">
        <v>12319</v>
      </c>
      <c r="G10" s="3">
        <v>3</v>
      </c>
      <c r="H10" s="3">
        <v>55049</v>
      </c>
      <c r="I10" s="3">
        <f>13748*0.75334</f>
        <v>10356.918320000001</v>
      </c>
      <c r="J10" s="3">
        <f t="shared" si="0"/>
        <v>44692.081680000003</v>
      </c>
      <c r="K10" s="22" t="s">
        <v>86</v>
      </c>
      <c r="L10" s="22" t="s">
        <v>202</v>
      </c>
      <c r="M10" s="47" t="s">
        <v>210</v>
      </c>
    </row>
    <row r="11" spans="1:13" s="48" customFormat="1" ht="132" customHeight="1">
      <c r="A11" s="46">
        <v>7</v>
      </c>
      <c r="B11" s="16" t="s">
        <v>102</v>
      </c>
      <c r="C11" s="12" t="s">
        <v>188</v>
      </c>
      <c r="D11" s="1" t="s">
        <v>230</v>
      </c>
      <c r="E11" s="2">
        <f>(F11+G11)/30021</f>
        <v>0.12427967089703874</v>
      </c>
      <c r="F11" s="3">
        <v>3721</v>
      </c>
      <c r="G11" s="3">
        <v>10</v>
      </c>
      <c r="H11" s="3">
        <v>31690</v>
      </c>
      <c r="I11" s="3">
        <f>25304*0.80279</f>
        <v>20313.798159999998</v>
      </c>
      <c r="J11" s="3">
        <f t="shared" si="0"/>
        <v>11376.201840000002</v>
      </c>
      <c r="K11" s="22" t="s">
        <v>134</v>
      </c>
      <c r="L11" s="22" t="s">
        <v>51</v>
      </c>
      <c r="M11" s="47" t="s">
        <v>210</v>
      </c>
    </row>
    <row r="12" spans="1:13" s="48" customFormat="1" ht="96.75" customHeight="1">
      <c r="A12" s="46">
        <v>8</v>
      </c>
      <c r="B12" s="16" t="s">
        <v>102</v>
      </c>
      <c r="C12" s="12" t="s">
        <v>239</v>
      </c>
      <c r="D12" s="1" t="s">
        <v>230</v>
      </c>
      <c r="E12" s="2" t="s">
        <v>109</v>
      </c>
      <c r="F12" s="3">
        <v>0</v>
      </c>
      <c r="G12" s="3">
        <v>0</v>
      </c>
      <c r="H12" s="3">
        <v>13679</v>
      </c>
      <c r="I12" s="3">
        <f>8144*0.75476</f>
        <v>6146.7654400000001</v>
      </c>
      <c r="J12" s="3">
        <f t="shared" si="0"/>
        <v>7532.2345599999999</v>
      </c>
      <c r="K12" s="24" t="s">
        <v>18</v>
      </c>
      <c r="L12" s="24" t="s">
        <v>110</v>
      </c>
      <c r="M12" s="47" t="s">
        <v>210</v>
      </c>
    </row>
    <row r="13" spans="1:13" s="48" customFormat="1" ht="101.25" customHeight="1">
      <c r="A13" s="46">
        <v>9</v>
      </c>
      <c r="B13" s="16" t="s">
        <v>102</v>
      </c>
      <c r="C13" s="12" t="s">
        <v>133</v>
      </c>
      <c r="D13" s="1" t="s">
        <v>230</v>
      </c>
      <c r="E13" s="2" t="s">
        <v>109</v>
      </c>
      <c r="F13" s="3">
        <v>0</v>
      </c>
      <c r="G13" s="3">
        <v>0</v>
      </c>
      <c r="H13" s="3">
        <v>9053</v>
      </c>
      <c r="I13" s="3">
        <v>3774</v>
      </c>
      <c r="J13" s="3">
        <f t="shared" si="0"/>
        <v>5279</v>
      </c>
      <c r="K13" s="24" t="s">
        <v>18</v>
      </c>
      <c r="L13" s="24" t="s">
        <v>110</v>
      </c>
      <c r="M13" s="47" t="s">
        <v>210</v>
      </c>
    </row>
    <row r="14" spans="1:13" s="48" customFormat="1" ht="127.5" customHeight="1">
      <c r="A14" s="46">
        <v>10</v>
      </c>
      <c r="B14" s="16" t="s">
        <v>102</v>
      </c>
      <c r="C14" s="12" t="s">
        <v>82</v>
      </c>
      <c r="D14" s="1" t="s">
        <v>126</v>
      </c>
      <c r="E14" s="2">
        <f t="shared" ref="E14:E34" si="1">(F14+G14)/H14</f>
        <v>0.28265009701459631</v>
      </c>
      <c r="F14" s="4">
        <v>172348</v>
      </c>
      <c r="G14" s="4">
        <v>32761</v>
      </c>
      <c r="H14" s="4">
        <v>725664</v>
      </c>
      <c r="I14" s="4">
        <v>218919</v>
      </c>
      <c r="J14" s="4">
        <f t="shared" si="0"/>
        <v>506745</v>
      </c>
      <c r="K14" s="22" t="s">
        <v>59</v>
      </c>
      <c r="L14" s="22" t="s">
        <v>48</v>
      </c>
      <c r="M14" s="47" t="s">
        <v>210</v>
      </c>
    </row>
    <row r="15" spans="1:13" s="48" customFormat="1" ht="99.75" customHeight="1">
      <c r="A15" s="46">
        <v>11</v>
      </c>
      <c r="B15" s="16" t="s">
        <v>102</v>
      </c>
      <c r="C15" s="12" t="s">
        <v>254</v>
      </c>
      <c r="D15" s="12" t="s">
        <v>148</v>
      </c>
      <c r="E15" s="2">
        <f t="shared" si="1"/>
        <v>0.94528727988140271</v>
      </c>
      <c r="F15" s="4">
        <v>51778</v>
      </c>
      <c r="G15" s="4">
        <v>16450</v>
      </c>
      <c r="H15" s="4">
        <v>72177</v>
      </c>
      <c r="I15" s="4">
        <v>2833</v>
      </c>
      <c r="J15" s="4">
        <f t="shared" si="0"/>
        <v>69344</v>
      </c>
      <c r="K15" s="25" t="s">
        <v>22</v>
      </c>
      <c r="L15" s="23" t="s">
        <v>49</v>
      </c>
      <c r="M15" s="47" t="s">
        <v>210</v>
      </c>
    </row>
    <row r="16" spans="1:13" s="48" customFormat="1" ht="108.75" customHeight="1">
      <c r="A16" s="46">
        <v>12</v>
      </c>
      <c r="B16" s="16" t="s">
        <v>102</v>
      </c>
      <c r="C16" s="1" t="s">
        <v>255</v>
      </c>
      <c r="D16" s="12" t="s">
        <v>231</v>
      </c>
      <c r="E16" s="2">
        <f t="shared" si="1"/>
        <v>0.50700957727873186</v>
      </c>
      <c r="F16" s="3">
        <v>122060</v>
      </c>
      <c r="G16" s="3">
        <v>758</v>
      </c>
      <c r="H16" s="3">
        <v>242240</v>
      </c>
      <c r="I16" s="3">
        <f>40717+3241</f>
        <v>43958</v>
      </c>
      <c r="J16" s="3">
        <f t="shared" si="0"/>
        <v>198282</v>
      </c>
      <c r="K16" s="22" t="s">
        <v>149</v>
      </c>
      <c r="L16" s="22" t="s">
        <v>50</v>
      </c>
      <c r="M16" s="47" t="s">
        <v>210</v>
      </c>
    </row>
    <row r="17" spans="1:13" s="48" customFormat="1" ht="133.5" customHeight="1">
      <c r="A17" s="46">
        <v>13</v>
      </c>
      <c r="B17" s="16" t="s">
        <v>94</v>
      </c>
      <c r="C17" s="12" t="s">
        <v>301</v>
      </c>
      <c r="D17" s="1" t="s">
        <v>136</v>
      </c>
      <c r="E17" s="2">
        <f t="shared" si="1"/>
        <v>0.16595299567339936</v>
      </c>
      <c r="F17" s="3">
        <v>20451</v>
      </c>
      <c r="G17" s="3">
        <v>3791</v>
      </c>
      <c r="H17" s="3">
        <f>147120*0.992914</f>
        <v>146077.50767999998</v>
      </c>
      <c r="I17" s="3">
        <f>62500*0.992914</f>
        <v>62057.125</v>
      </c>
      <c r="J17" s="3">
        <f t="shared" si="0"/>
        <v>84020.382679999981</v>
      </c>
      <c r="K17" s="22" t="s">
        <v>137</v>
      </c>
      <c r="L17" s="22" t="s">
        <v>201</v>
      </c>
      <c r="M17" s="47" t="s">
        <v>210</v>
      </c>
    </row>
    <row r="18" spans="1:13" s="48" customFormat="1" ht="135.75" customHeight="1">
      <c r="A18" s="46">
        <v>14</v>
      </c>
      <c r="B18" s="16" t="s">
        <v>94</v>
      </c>
      <c r="C18" s="12" t="s">
        <v>302</v>
      </c>
      <c r="D18" s="1" t="s">
        <v>232</v>
      </c>
      <c r="E18" s="2">
        <f t="shared" si="1"/>
        <v>0.19735823547175135</v>
      </c>
      <c r="F18" s="3">
        <v>6814</v>
      </c>
      <c r="G18" s="3">
        <v>190</v>
      </c>
      <c r="H18" s="3">
        <f>39355*0.90176</f>
        <v>35488.764799999997</v>
      </c>
      <c r="I18" s="49">
        <f>22848*0.90176</f>
        <v>20603.412479999999</v>
      </c>
      <c r="J18" s="49">
        <f t="shared" si="0"/>
        <v>14885.352319999998</v>
      </c>
      <c r="K18" s="22" t="s">
        <v>303</v>
      </c>
      <c r="L18" s="22" t="s">
        <v>118</v>
      </c>
      <c r="M18" s="47" t="s">
        <v>210</v>
      </c>
    </row>
    <row r="19" spans="1:13" s="48" customFormat="1" ht="114" customHeight="1">
      <c r="A19" s="46">
        <v>15</v>
      </c>
      <c r="B19" s="16" t="s">
        <v>94</v>
      </c>
      <c r="C19" s="12" t="s">
        <v>190</v>
      </c>
      <c r="D19" s="1" t="s">
        <v>233</v>
      </c>
      <c r="E19" s="2">
        <f t="shared" si="1"/>
        <v>0.24453678514842606</v>
      </c>
      <c r="F19" s="3">
        <v>7528</v>
      </c>
      <c r="G19" s="3">
        <v>652</v>
      </c>
      <c r="H19" s="3">
        <v>33451</v>
      </c>
      <c r="I19" s="49">
        <v>21263</v>
      </c>
      <c r="J19" s="49">
        <f t="shared" si="0"/>
        <v>12188</v>
      </c>
      <c r="K19" s="22" t="s">
        <v>58</v>
      </c>
      <c r="L19" s="22" t="s">
        <v>118</v>
      </c>
      <c r="M19" s="47" t="s">
        <v>210</v>
      </c>
    </row>
    <row r="20" spans="1:13" s="48" customFormat="1" ht="96" customHeight="1">
      <c r="A20" s="46">
        <v>16</v>
      </c>
      <c r="B20" s="16" t="s">
        <v>94</v>
      </c>
      <c r="C20" s="12" t="s">
        <v>191</v>
      </c>
      <c r="D20" s="1" t="s">
        <v>43</v>
      </c>
      <c r="E20" s="2">
        <f t="shared" si="1"/>
        <v>0.19180246467747031</v>
      </c>
      <c r="F20" s="3">
        <v>4249</v>
      </c>
      <c r="G20" s="3">
        <v>0</v>
      </c>
      <c r="H20" s="3">
        <v>22153</v>
      </c>
      <c r="I20" s="3">
        <v>12057</v>
      </c>
      <c r="J20" s="3">
        <f t="shared" si="0"/>
        <v>10096</v>
      </c>
      <c r="K20" s="22" t="s">
        <v>23</v>
      </c>
      <c r="L20" s="22" t="s">
        <v>110</v>
      </c>
      <c r="M20" s="47" t="s">
        <v>210</v>
      </c>
    </row>
    <row r="21" spans="1:13" s="48" customFormat="1" ht="108" customHeight="1">
      <c r="A21" s="46">
        <v>17</v>
      </c>
      <c r="B21" s="16" t="s">
        <v>94</v>
      </c>
      <c r="C21" s="12" t="s">
        <v>192</v>
      </c>
      <c r="D21" s="12" t="s">
        <v>117</v>
      </c>
      <c r="E21" s="2">
        <f t="shared" si="1"/>
        <v>0.1297981310420554</v>
      </c>
      <c r="F21" s="3">
        <v>12721</v>
      </c>
      <c r="G21" s="3">
        <v>4183</v>
      </c>
      <c r="H21" s="3">
        <v>130233</v>
      </c>
      <c r="I21" s="3">
        <v>60930</v>
      </c>
      <c r="J21" s="3">
        <f t="shared" si="0"/>
        <v>69303</v>
      </c>
      <c r="K21" s="22" t="s">
        <v>68</v>
      </c>
      <c r="L21" s="22" t="s">
        <v>118</v>
      </c>
      <c r="M21" s="47" t="s">
        <v>210</v>
      </c>
    </row>
    <row r="22" spans="1:13" s="48" customFormat="1" ht="143.25" customHeight="1">
      <c r="A22" s="46">
        <v>18</v>
      </c>
      <c r="B22" s="16" t="s">
        <v>94</v>
      </c>
      <c r="C22" s="12" t="s">
        <v>193</v>
      </c>
      <c r="D22" s="12" t="s">
        <v>119</v>
      </c>
      <c r="E22" s="2">
        <f t="shared" si="1"/>
        <v>0.17894392854225102</v>
      </c>
      <c r="F22" s="53">
        <v>14196</v>
      </c>
      <c r="G22" s="53">
        <v>12088</v>
      </c>
      <c r="H22" s="53">
        <v>146884</v>
      </c>
      <c r="I22" s="54">
        <v>65528</v>
      </c>
      <c r="J22" s="54">
        <f t="shared" si="0"/>
        <v>81356</v>
      </c>
      <c r="K22" s="55" t="s">
        <v>63</v>
      </c>
      <c r="L22" s="22" t="s">
        <v>118</v>
      </c>
      <c r="M22" s="47" t="s">
        <v>210</v>
      </c>
    </row>
    <row r="23" spans="1:13" s="48" customFormat="1" ht="141.75" customHeight="1">
      <c r="A23" s="46">
        <v>19</v>
      </c>
      <c r="B23" s="16" t="s">
        <v>94</v>
      </c>
      <c r="C23" s="12" t="s">
        <v>194</v>
      </c>
      <c r="D23" s="12" t="s">
        <v>119</v>
      </c>
      <c r="E23" s="2">
        <f t="shared" si="1"/>
        <v>0.20388721132990262</v>
      </c>
      <c r="F23" s="3">
        <v>4707</v>
      </c>
      <c r="G23" s="3">
        <v>87</v>
      </c>
      <c r="H23" s="3">
        <v>23513</v>
      </c>
      <c r="I23" s="3">
        <v>13422</v>
      </c>
      <c r="J23" s="3">
        <f t="shared" si="0"/>
        <v>10091</v>
      </c>
      <c r="K23" s="22" t="s">
        <v>64</v>
      </c>
      <c r="L23" s="22" t="s">
        <v>118</v>
      </c>
      <c r="M23" s="47" t="s">
        <v>210</v>
      </c>
    </row>
    <row r="24" spans="1:13" s="48" customFormat="1" ht="142.5" customHeight="1">
      <c r="A24" s="46">
        <v>20</v>
      </c>
      <c r="B24" s="16" t="s">
        <v>94</v>
      </c>
      <c r="C24" s="12" t="s">
        <v>314</v>
      </c>
      <c r="D24" s="1" t="s">
        <v>135</v>
      </c>
      <c r="E24" s="2">
        <f t="shared" si="1"/>
        <v>0.32779461670329901</v>
      </c>
      <c r="F24" s="3">
        <v>18526</v>
      </c>
      <c r="G24" s="3">
        <v>50080</v>
      </c>
      <c r="H24" s="3">
        <f>219772*0.952331</f>
        <v>209295.688532</v>
      </c>
      <c r="I24" s="3">
        <f>87126*0.952331</f>
        <v>82972.790706</v>
      </c>
      <c r="J24" s="3">
        <f t="shared" si="0"/>
        <v>126322.897826</v>
      </c>
      <c r="K24" s="22" t="s">
        <v>55</v>
      </c>
      <c r="L24" s="22" t="s">
        <v>46</v>
      </c>
      <c r="M24" s="47" t="s">
        <v>210</v>
      </c>
    </row>
    <row r="25" spans="1:13" s="48" customFormat="1" ht="151.5" customHeight="1">
      <c r="A25" s="46">
        <v>21</v>
      </c>
      <c r="B25" s="16" t="s">
        <v>94</v>
      </c>
      <c r="C25" s="12" t="s">
        <v>196</v>
      </c>
      <c r="D25" s="1" t="s">
        <v>138</v>
      </c>
      <c r="E25" s="2">
        <f t="shared" si="1"/>
        <v>0.40064102564102566</v>
      </c>
      <c r="F25" s="3">
        <v>72216</v>
      </c>
      <c r="G25" s="3">
        <v>16784</v>
      </c>
      <c r="H25" s="3">
        <v>222144</v>
      </c>
      <c r="I25" s="3">
        <v>43074</v>
      </c>
      <c r="J25" s="3">
        <f t="shared" si="0"/>
        <v>179070</v>
      </c>
      <c r="K25" s="22" t="s">
        <v>24</v>
      </c>
      <c r="L25" s="22" t="s">
        <v>47</v>
      </c>
      <c r="M25" s="47" t="s">
        <v>210</v>
      </c>
    </row>
    <row r="26" spans="1:13" s="48" customFormat="1" ht="154.5" customHeight="1">
      <c r="A26" s="46">
        <v>22</v>
      </c>
      <c r="B26" s="16" t="s">
        <v>94</v>
      </c>
      <c r="C26" s="12" t="s">
        <v>197</v>
      </c>
      <c r="D26" s="1" t="s">
        <v>40</v>
      </c>
      <c r="E26" s="2">
        <f t="shared" si="1"/>
        <v>0.54667011407797417</v>
      </c>
      <c r="F26" s="3">
        <v>209797</v>
      </c>
      <c r="G26" s="3">
        <v>139066</v>
      </c>
      <c r="H26" s="3">
        <v>638160</v>
      </c>
      <c r="I26" s="3">
        <v>142173</v>
      </c>
      <c r="J26" s="3">
        <f t="shared" si="0"/>
        <v>495987</v>
      </c>
      <c r="K26" s="22" t="s">
        <v>56</v>
      </c>
      <c r="L26" s="22" t="s">
        <v>41</v>
      </c>
      <c r="M26" s="47" t="s">
        <v>210</v>
      </c>
    </row>
    <row r="27" spans="1:13" s="48" customFormat="1" ht="277.5" customHeight="1">
      <c r="A27" s="46">
        <v>23</v>
      </c>
      <c r="B27" s="16" t="s">
        <v>101</v>
      </c>
      <c r="C27" s="1" t="s">
        <v>313</v>
      </c>
      <c r="D27" s="12" t="s">
        <v>129</v>
      </c>
      <c r="E27" s="2">
        <f t="shared" si="1"/>
        <v>0.42540365984930034</v>
      </c>
      <c r="F27" s="3">
        <v>1656</v>
      </c>
      <c r="G27" s="3">
        <v>320</v>
      </c>
      <c r="H27" s="3">
        <v>4645</v>
      </c>
      <c r="I27" s="3">
        <v>306</v>
      </c>
      <c r="J27" s="3">
        <f t="shared" si="0"/>
        <v>4339</v>
      </c>
      <c r="K27" s="22" t="s">
        <v>305</v>
      </c>
      <c r="L27" s="22" t="s">
        <v>211</v>
      </c>
      <c r="M27" s="47" t="s">
        <v>210</v>
      </c>
    </row>
    <row r="28" spans="1:13" s="48" customFormat="1" ht="97.5" customHeight="1">
      <c r="A28" s="46">
        <v>24</v>
      </c>
      <c r="B28" s="16" t="s">
        <v>101</v>
      </c>
      <c r="C28" s="1" t="s">
        <v>316</v>
      </c>
      <c r="D28" s="12" t="s">
        <v>130</v>
      </c>
      <c r="E28" s="2">
        <f t="shared" si="1"/>
        <v>0.39513855019816913</v>
      </c>
      <c r="F28" s="3">
        <v>68481</v>
      </c>
      <c r="G28" s="3">
        <v>2005</v>
      </c>
      <c r="H28" s="3">
        <v>178383</v>
      </c>
      <c r="I28" s="3">
        <v>60967</v>
      </c>
      <c r="J28" s="3">
        <f t="shared" si="0"/>
        <v>117416</v>
      </c>
      <c r="K28" s="22" t="s">
        <v>131</v>
      </c>
      <c r="L28" s="22" t="s">
        <v>212</v>
      </c>
      <c r="M28" s="47" t="s">
        <v>210</v>
      </c>
    </row>
    <row r="29" spans="1:13" s="48" customFormat="1" ht="153" customHeight="1">
      <c r="A29" s="46">
        <v>25</v>
      </c>
      <c r="B29" s="16" t="s">
        <v>97</v>
      </c>
      <c r="C29" s="1" t="s">
        <v>3</v>
      </c>
      <c r="D29" s="1" t="s">
        <v>122</v>
      </c>
      <c r="E29" s="2">
        <f t="shared" si="1"/>
        <v>6.1159578335150858E-2</v>
      </c>
      <c r="F29" s="3">
        <v>2205</v>
      </c>
      <c r="G29" s="3">
        <v>487</v>
      </c>
      <c r="H29" s="3">
        <v>44016</v>
      </c>
      <c r="I29" s="3">
        <v>22616</v>
      </c>
      <c r="J29" s="3">
        <f t="shared" si="0"/>
        <v>21400</v>
      </c>
      <c r="K29" s="22" t="s">
        <v>213</v>
      </c>
      <c r="L29" s="22" t="s">
        <v>214</v>
      </c>
      <c r="M29" s="47" t="s">
        <v>210</v>
      </c>
    </row>
    <row r="30" spans="1:13" s="48" customFormat="1" ht="127.5" customHeight="1">
      <c r="A30" s="46">
        <v>26</v>
      </c>
      <c r="B30" s="16" t="s">
        <v>97</v>
      </c>
      <c r="C30" s="1" t="s">
        <v>241</v>
      </c>
      <c r="D30" s="1" t="s">
        <v>123</v>
      </c>
      <c r="E30" s="2">
        <f t="shared" si="1"/>
        <v>0.19823374324747875</v>
      </c>
      <c r="F30" s="3">
        <v>3900</v>
      </c>
      <c r="G30" s="3">
        <v>6852</v>
      </c>
      <c r="H30" s="3">
        <v>54239</v>
      </c>
      <c r="I30" s="3">
        <f>24978*0.74198</f>
        <v>18533.176439999999</v>
      </c>
      <c r="J30" s="3">
        <f t="shared" si="0"/>
        <v>35705.823560000004</v>
      </c>
      <c r="K30" s="22" t="s">
        <v>215</v>
      </c>
      <c r="L30" s="22" t="s">
        <v>216</v>
      </c>
      <c r="M30" s="47" t="s">
        <v>210</v>
      </c>
    </row>
    <row r="31" spans="1:13" s="48" customFormat="1" ht="210.75" customHeight="1">
      <c r="A31" s="46">
        <v>27</v>
      </c>
      <c r="B31" s="16" t="s">
        <v>97</v>
      </c>
      <c r="C31" s="1" t="s">
        <v>4</v>
      </c>
      <c r="D31" s="1" t="s">
        <v>123</v>
      </c>
      <c r="E31" s="2">
        <f t="shared" si="1"/>
        <v>0.13272575137384382</v>
      </c>
      <c r="F31" s="3">
        <v>11738</v>
      </c>
      <c r="G31" s="3">
        <v>0</v>
      </c>
      <c r="H31" s="3">
        <v>88438</v>
      </c>
      <c r="I31" s="3">
        <v>23122</v>
      </c>
      <c r="J31" s="3">
        <f t="shared" si="0"/>
        <v>65316</v>
      </c>
      <c r="K31" s="22" t="s">
        <v>107</v>
      </c>
      <c r="L31" s="22" t="s">
        <v>217</v>
      </c>
      <c r="M31" s="47" t="s">
        <v>210</v>
      </c>
    </row>
    <row r="32" spans="1:13" s="48" customFormat="1" ht="132.75" customHeight="1">
      <c r="A32" s="46">
        <v>28</v>
      </c>
      <c r="B32" s="16" t="s">
        <v>97</v>
      </c>
      <c r="C32" s="1" t="s">
        <v>5</v>
      </c>
      <c r="D32" s="1" t="s">
        <v>227</v>
      </c>
      <c r="E32" s="2">
        <f t="shared" si="1"/>
        <v>9.0449235216186918E-2</v>
      </c>
      <c r="F32" s="3">
        <v>3755</v>
      </c>
      <c r="G32" s="3">
        <v>0</v>
      </c>
      <c r="H32" s="3">
        <v>41515</v>
      </c>
      <c r="I32" s="3">
        <v>24319</v>
      </c>
      <c r="J32" s="3">
        <f t="shared" si="0"/>
        <v>17196</v>
      </c>
      <c r="K32" s="22" t="s">
        <v>218</v>
      </c>
      <c r="L32" s="22" t="s">
        <v>110</v>
      </c>
      <c r="M32" s="47" t="s">
        <v>210</v>
      </c>
    </row>
    <row r="33" spans="1:13" s="48" customFormat="1" ht="131.25" customHeight="1">
      <c r="A33" s="46">
        <v>29</v>
      </c>
      <c r="B33" s="16" t="s">
        <v>97</v>
      </c>
      <c r="C33" s="12" t="s">
        <v>6</v>
      </c>
      <c r="D33" s="1" t="s">
        <v>219</v>
      </c>
      <c r="E33" s="2">
        <f t="shared" si="1"/>
        <v>0.26192106909420371</v>
      </c>
      <c r="F33" s="3">
        <v>89079</v>
      </c>
      <c r="G33" s="3">
        <v>8056</v>
      </c>
      <c r="H33" s="3">
        <v>370856</v>
      </c>
      <c r="I33" s="3">
        <v>130348</v>
      </c>
      <c r="J33" s="3">
        <f t="shared" si="0"/>
        <v>240508</v>
      </c>
      <c r="K33" s="22" t="s">
        <v>25</v>
      </c>
      <c r="L33" s="22" t="s">
        <v>39</v>
      </c>
      <c r="M33" s="47" t="s">
        <v>210</v>
      </c>
    </row>
    <row r="34" spans="1:13" s="48" customFormat="1" ht="104.25" customHeight="1">
      <c r="A34" s="46">
        <v>30</v>
      </c>
      <c r="B34" s="16" t="s">
        <v>93</v>
      </c>
      <c r="C34" s="12" t="s">
        <v>309</v>
      </c>
      <c r="D34" s="1" t="s">
        <v>111</v>
      </c>
      <c r="E34" s="56">
        <f t="shared" si="1"/>
        <v>1.693134049509575E-3</v>
      </c>
      <c r="F34" s="3">
        <v>29</v>
      </c>
      <c r="G34" s="3">
        <v>0</v>
      </c>
      <c r="H34" s="3">
        <v>17128</v>
      </c>
      <c r="I34" s="3">
        <v>9416</v>
      </c>
      <c r="J34" s="3">
        <f t="shared" si="0"/>
        <v>7712</v>
      </c>
      <c r="K34" s="22" t="s">
        <v>298</v>
      </c>
      <c r="L34" s="22" t="s">
        <v>110</v>
      </c>
      <c r="M34" s="47" t="s">
        <v>210</v>
      </c>
    </row>
    <row r="35" spans="1:13" s="48" customFormat="1" ht="90" customHeight="1">
      <c r="A35" s="46">
        <v>31</v>
      </c>
      <c r="B35" s="16" t="s">
        <v>93</v>
      </c>
      <c r="C35" s="12" t="s">
        <v>72</v>
      </c>
      <c r="D35" s="1" t="s">
        <v>42</v>
      </c>
      <c r="E35" s="2" t="s">
        <v>109</v>
      </c>
      <c r="F35" s="3">
        <v>0</v>
      </c>
      <c r="G35" s="3">
        <v>0</v>
      </c>
      <c r="H35" s="3">
        <v>65425</v>
      </c>
      <c r="I35" s="3">
        <v>42414</v>
      </c>
      <c r="J35" s="3">
        <f t="shared" si="0"/>
        <v>23011</v>
      </c>
      <c r="K35" s="24" t="s">
        <v>18</v>
      </c>
      <c r="L35" s="24" t="s">
        <v>110</v>
      </c>
      <c r="M35" s="47" t="s">
        <v>210</v>
      </c>
    </row>
    <row r="36" spans="1:13" s="48" customFormat="1" ht="148.5" customHeight="1">
      <c r="A36" s="46">
        <v>32</v>
      </c>
      <c r="B36" s="16" t="s">
        <v>93</v>
      </c>
      <c r="C36" s="12" t="s">
        <v>84</v>
      </c>
      <c r="D36" s="1" t="s">
        <v>112</v>
      </c>
      <c r="E36" s="2">
        <f>(F36+G36)/H36</f>
        <v>0.64261476233135162</v>
      </c>
      <c r="F36" s="3">
        <v>158886</v>
      </c>
      <c r="G36" s="3">
        <v>6818</v>
      </c>
      <c r="H36" s="3">
        <v>257859</v>
      </c>
      <c r="I36" s="3">
        <v>60790</v>
      </c>
      <c r="J36" s="3">
        <f t="shared" si="0"/>
        <v>197069</v>
      </c>
      <c r="K36" s="22" t="s">
        <v>108</v>
      </c>
      <c r="L36" s="22" t="s">
        <v>44</v>
      </c>
      <c r="M36" s="47" t="s">
        <v>210</v>
      </c>
    </row>
    <row r="37" spans="1:13" s="48" customFormat="1" ht="143.25" customHeight="1">
      <c r="A37" s="46">
        <v>33</v>
      </c>
      <c r="B37" s="16" t="s">
        <v>93</v>
      </c>
      <c r="C37" s="12" t="s">
        <v>113</v>
      </c>
      <c r="D37" s="1" t="s">
        <v>114</v>
      </c>
      <c r="E37" s="2">
        <f>(F37+G37)/H37</f>
        <v>0.13517797300969114</v>
      </c>
      <c r="F37" s="57">
        <v>20895</v>
      </c>
      <c r="G37" s="57">
        <v>0</v>
      </c>
      <c r="H37" s="57">
        <v>154574</v>
      </c>
      <c r="I37" s="57">
        <v>86312</v>
      </c>
      <c r="J37" s="57">
        <f t="shared" ref="J37:J64" si="2">H37-I37</f>
        <v>68262</v>
      </c>
      <c r="K37" s="22" t="s">
        <v>20</v>
      </c>
      <c r="L37" s="22" t="s">
        <v>110</v>
      </c>
      <c r="M37" s="47" t="s">
        <v>210</v>
      </c>
    </row>
    <row r="38" spans="1:13" s="48" customFormat="1" ht="225.75" customHeight="1">
      <c r="A38" s="46">
        <v>34</v>
      </c>
      <c r="B38" s="16" t="s">
        <v>93</v>
      </c>
      <c r="C38" s="12" t="s">
        <v>242</v>
      </c>
      <c r="D38" s="1" t="s">
        <v>115</v>
      </c>
      <c r="E38" s="2">
        <f>(F38+G38)/H38</f>
        <v>0.15681410796318751</v>
      </c>
      <c r="F38" s="3">
        <v>22869</v>
      </c>
      <c r="G38" s="3">
        <v>78787</v>
      </c>
      <c r="H38" s="49">
        <v>648258</v>
      </c>
      <c r="I38" s="3">
        <f>285204*0.85802</f>
        <v>244710.73608</v>
      </c>
      <c r="J38" s="3">
        <f t="shared" si="2"/>
        <v>403547.26392</v>
      </c>
      <c r="K38" s="22" t="s">
        <v>21</v>
      </c>
      <c r="L38" s="22" t="s">
        <v>187</v>
      </c>
      <c r="M38" s="47" t="s">
        <v>210</v>
      </c>
    </row>
    <row r="39" spans="1:13" s="48" customFormat="1" ht="94.5" customHeight="1">
      <c r="A39" s="46">
        <v>35</v>
      </c>
      <c r="B39" s="16" t="s">
        <v>93</v>
      </c>
      <c r="C39" s="1" t="s">
        <v>256</v>
      </c>
      <c r="D39" s="1" t="s">
        <v>199</v>
      </c>
      <c r="E39" s="2">
        <f>(F39+G39)/H39</f>
        <v>0.25829821684346005</v>
      </c>
      <c r="F39" s="3">
        <v>5803</v>
      </c>
      <c r="G39" s="3">
        <v>6640</v>
      </c>
      <c r="H39" s="3">
        <v>48173</v>
      </c>
      <c r="I39" s="3">
        <f>6011*0.80986</f>
        <v>4868.0684600000004</v>
      </c>
      <c r="J39" s="3">
        <f t="shared" si="2"/>
        <v>43304.931539999998</v>
      </c>
      <c r="K39" s="22" t="s">
        <v>220</v>
      </c>
      <c r="L39" s="22" t="s">
        <v>221</v>
      </c>
      <c r="M39" s="47" t="s">
        <v>210</v>
      </c>
    </row>
    <row r="40" spans="1:13" s="48" customFormat="1" ht="86.25" customHeight="1">
      <c r="A40" s="46">
        <v>36</v>
      </c>
      <c r="B40" s="16" t="s">
        <v>93</v>
      </c>
      <c r="C40" s="12" t="s">
        <v>257</v>
      </c>
      <c r="D40" s="1" t="s">
        <v>71</v>
      </c>
      <c r="E40" s="2" t="s">
        <v>109</v>
      </c>
      <c r="F40" s="3">
        <v>0</v>
      </c>
      <c r="G40" s="3">
        <v>0</v>
      </c>
      <c r="H40" s="3">
        <v>4117</v>
      </c>
      <c r="I40" s="3">
        <f>6688*0.27168</f>
        <v>1816.9958399999998</v>
      </c>
      <c r="J40" s="3">
        <f t="shared" si="2"/>
        <v>2300.0041600000004</v>
      </c>
      <c r="K40" s="24" t="s">
        <v>18</v>
      </c>
      <c r="L40" s="24" t="s">
        <v>110</v>
      </c>
      <c r="M40" s="47" t="s">
        <v>210</v>
      </c>
    </row>
    <row r="41" spans="1:13" s="48" customFormat="1" ht="109.5" customHeight="1">
      <c r="A41" s="46">
        <v>37</v>
      </c>
      <c r="B41" s="16" t="s">
        <v>93</v>
      </c>
      <c r="C41" s="1" t="s">
        <v>243</v>
      </c>
      <c r="D41" s="1" t="s">
        <v>200</v>
      </c>
      <c r="E41" s="2">
        <f t="shared" ref="E41:E48" si="3">(F41+G41)/H41</f>
        <v>0.60387874778753148</v>
      </c>
      <c r="F41" s="3">
        <v>135099</v>
      </c>
      <c r="G41" s="3">
        <v>8</v>
      </c>
      <c r="H41" s="3">
        <v>223732</v>
      </c>
      <c r="I41" s="3">
        <v>73430</v>
      </c>
      <c r="J41" s="3">
        <f t="shared" si="2"/>
        <v>150302</v>
      </c>
      <c r="K41" s="22" t="s">
        <v>222</v>
      </c>
      <c r="L41" s="22" t="s">
        <v>223</v>
      </c>
      <c r="M41" s="47" t="s">
        <v>210</v>
      </c>
    </row>
    <row r="42" spans="1:13" s="48" customFormat="1" ht="92.25" customHeight="1">
      <c r="A42" s="46">
        <v>38</v>
      </c>
      <c r="B42" s="16" t="s">
        <v>93</v>
      </c>
      <c r="C42" s="12" t="s">
        <v>74</v>
      </c>
      <c r="D42" s="12" t="s">
        <v>116</v>
      </c>
      <c r="E42" s="2">
        <f t="shared" si="3"/>
        <v>0.41948376155547518</v>
      </c>
      <c r="F42" s="3">
        <v>141486</v>
      </c>
      <c r="G42" s="3">
        <v>0</v>
      </c>
      <c r="H42" s="3">
        <v>337286</v>
      </c>
      <c r="I42" s="3">
        <v>34767</v>
      </c>
      <c r="J42" s="3">
        <f t="shared" si="2"/>
        <v>302519</v>
      </c>
      <c r="K42" s="18" t="s">
        <v>67</v>
      </c>
      <c r="L42" s="18" t="s">
        <v>110</v>
      </c>
      <c r="M42" s="47" t="s">
        <v>210</v>
      </c>
    </row>
    <row r="43" spans="1:13" s="48" customFormat="1" ht="67.5" customHeight="1">
      <c r="A43" s="46">
        <v>39</v>
      </c>
      <c r="B43" s="16" t="s">
        <v>93</v>
      </c>
      <c r="C43" s="12" t="s">
        <v>83</v>
      </c>
      <c r="D43" s="12" t="s">
        <v>143</v>
      </c>
      <c r="E43" s="2">
        <f>(F43+G43)/H43</f>
        <v>0.625</v>
      </c>
      <c r="F43" s="3">
        <v>30650</v>
      </c>
      <c r="G43" s="3">
        <v>0</v>
      </c>
      <c r="H43" s="3">
        <v>49040</v>
      </c>
      <c r="I43" s="3">
        <v>8692</v>
      </c>
      <c r="J43" s="3">
        <f t="shared" si="2"/>
        <v>40348</v>
      </c>
      <c r="K43" s="22" t="s">
        <v>61</v>
      </c>
      <c r="L43" s="22" t="s">
        <v>110</v>
      </c>
      <c r="M43" s="47" t="s">
        <v>210</v>
      </c>
    </row>
    <row r="44" spans="1:13" s="48" customFormat="1" ht="107.25" customHeight="1">
      <c r="A44" s="46">
        <v>40</v>
      </c>
      <c r="B44" s="16" t="s">
        <v>93</v>
      </c>
      <c r="C44" s="1" t="s">
        <v>258</v>
      </c>
      <c r="D44" s="1" t="s">
        <v>139</v>
      </c>
      <c r="E44" s="2">
        <f t="shared" si="3"/>
        <v>0.4585456169556214</v>
      </c>
      <c r="F44" s="3">
        <v>278411</v>
      </c>
      <c r="G44" s="3">
        <v>3927</v>
      </c>
      <c r="H44" s="3">
        <v>615725</v>
      </c>
      <c r="I44" s="3">
        <f>322698*0.9542</f>
        <v>307918.43160000001</v>
      </c>
      <c r="J44" s="3">
        <f t="shared" si="2"/>
        <v>307806.56839999999</v>
      </c>
      <c r="K44" s="22" t="s">
        <v>299</v>
      </c>
      <c r="L44" s="22" t="s">
        <v>110</v>
      </c>
      <c r="M44" s="47" t="s">
        <v>210</v>
      </c>
    </row>
    <row r="45" spans="1:13" s="48" customFormat="1" ht="105.75" customHeight="1">
      <c r="A45" s="46">
        <v>41</v>
      </c>
      <c r="B45" s="16" t="s">
        <v>93</v>
      </c>
      <c r="C45" s="1" t="s">
        <v>310</v>
      </c>
      <c r="D45" s="1" t="s">
        <v>306</v>
      </c>
      <c r="E45" s="2" t="s">
        <v>306</v>
      </c>
      <c r="F45" s="3" t="s">
        <v>306</v>
      </c>
      <c r="G45" s="3" t="s">
        <v>306</v>
      </c>
      <c r="H45" s="3" t="s">
        <v>306</v>
      </c>
      <c r="I45" s="3" t="s">
        <v>307</v>
      </c>
      <c r="J45" s="3" t="s">
        <v>109</v>
      </c>
      <c r="K45" s="22" t="s">
        <v>308</v>
      </c>
      <c r="L45" s="22" t="s">
        <v>110</v>
      </c>
      <c r="M45" s="47" t="s">
        <v>306</v>
      </c>
    </row>
    <row r="46" spans="1:13" s="48" customFormat="1" ht="92.25" customHeight="1">
      <c r="A46" s="46">
        <v>42</v>
      </c>
      <c r="B46" s="16" t="s">
        <v>93</v>
      </c>
      <c r="C46" s="12" t="s">
        <v>144</v>
      </c>
      <c r="D46" s="12" t="s">
        <v>145</v>
      </c>
      <c r="E46" s="2">
        <f t="shared" si="3"/>
        <v>0.71354375640854173</v>
      </c>
      <c r="F46" s="3">
        <v>31793</v>
      </c>
      <c r="G46" s="3">
        <v>218</v>
      </c>
      <c r="H46" s="3">
        <v>44862</v>
      </c>
      <c r="I46" s="3">
        <v>18315</v>
      </c>
      <c r="J46" s="3">
        <f t="shared" si="2"/>
        <v>26547</v>
      </c>
      <c r="K46" s="22" t="s">
        <v>35</v>
      </c>
      <c r="L46" s="22" t="s">
        <v>45</v>
      </c>
      <c r="M46" s="47" t="s">
        <v>210</v>
      </c>
    </row>
    <row r="47" spans="1:13" s="50" customFormat="1" ht="182.25" customHeight="1">
      <c r="A47" s="46">
        <v>43</v>
      </c>
      <c r="B47" s="16" t="s">
        <v>98</v>
      </c>
      <c r="C47" s="12" t="s">
        <v>7</v>
      </c>
      <c r="D47" s="1" t="s">
        <v>127</v>
      </c>
      <c r="E47" s="2">
        <f>(F47+G47)/H47</f>
        <v>0.35522234153159143</v>
      </c>
      <c r="F47" s="3">
        <v>360759</v>
      </c>
      <c r="G47" s="3">
        <v>56066</v>
      </c>
      <c r="H47" s="3">
        <v>1173420</v>
      </c>
      <c r="I47" s="3">
        <v>406141</v>
      </c>
      <c r="J47" s="3">
        <f t="shared" si="2"/>
        <v>767279</v>
      </c>
      <c r="K47" s="24" t="s">
        <v>296</v>
      </c>
      <c r="L47" s="22" t="s">
        <v>128</v>
      </c>
      <c r="M47" s="47" t="s">
        <v>210</v>
      </c>
    </row>
    <row r="48" spans="1:13" s="50" customFormat="1" ht="180" customHeight="1">
      <c r="A48" s="46">
        <v>44</v>
      </c>
      <c r="B48" s="16" t="s">
        <v>98</v>
      </c>
      <c r="C48" s="12" t="s">
        <v>8</v>
      </c>
      <c r="D48" s="1" t="s">
        <v>89</v>
      </c>
      <c r="E48" s="2">
        <f t="shared" si="3"/>
        <v>0.1313677884195002</v>
      </c>
      <c r="F48" s="3">
        <v>67581</v>
      </c>
      <c r="G48" s="3">
        <v>22562</v>
      </c>
      <c r="H48" s="3">
        <v>686188</v>
      </c>
      <c r="I48" s="3">
        <v>293287</v>
      </c>
      <c r="J48" s="3">
        <f t="shared" si="2"/>
        <v>392901</v>
      </c>
      <c r="K48" s="58" t="s">
        <v>297</v>
      </c>
      <c r="L48" s="22" t="s">
        <v>128</v>
      </c>
      <c r="M48" s="47" t="s">
        <v>210</v>
      </c>
    </row>
    <row r="49" spans="1:13" s="50" customFormat="1" ht="127.5" customHeight="1">
      <c r="A49" s="46">
        <v>45</v>
      </c>
      <c r="B49" s="16" t="s">
        <v>98</v>
      </c>
      <c r="C49" s="12" t="s">
        <v>9</v>
      </c>
      <c r="D49" s="1" t="s">
        <v>89</v>
      </c>
      <c r="E49" s="2" t="s">
        <v>109</v>
      </c>
      <c r="F49" s="3">
        <v>540</v>
      </c>
      <c r="G49" s="3">
        <v>0</v>
      </c>
      <c r="H49" s="3">
        <v>408152</v>
      </c>
      <c r="I49" s="3">
        <v>228343</v>
      </c>
      <c r="J49" s="3">
        <f t="shared" si="2"/>
        <v>179809</v>
      </c>
      <c r="K49" s="24" t="s">
        <v>18</v>
      </c>
      <c r="L49" s="24" t="s">
        <v>110</v>
      </c>
      <c r="M49" s="47" t="s">
        <v>210</v>
      </c>
    </row>
    <row r="50" spans="1:13" s="48" customFormat="1" ht="136.5" customHeight="1">
      <c r="A50" s="46">
        <v>46</v>
      </c>
      <c r="B50" s="16" t="s">
        <v>98</v>
      </c>
      <c r="C50" s="12" t="s">
        <v>206</v>
      </c>
      <c r="D50" s="1" t="s">
        <v>124</v>
      </c>
      <c r="E50" s="2">
        <f t="shared" ref="E50:E58" si="4">(F50+G50)/H50</f>
        <v>0.16489361702127658</v>
      </c>
      <c r="F50" s="3">
        <v>744</v>
      </c>
      <c r="G50" s="3">
        <v>0</v>
      </c>
      <c r="H50" s="3">
        <v>4512</v>
      </c>
      <c r="I50" s="3">
        <v>2050</v>
      </c>
      <c r="J50" s="3">
        <f t="shared" si="2"/>
        <v>2462</v>
      </c>
      <c r="K50" s="17" t="s">
        <v>26</v>
      </c>
      <c r="L50" s="18" t="s">
        <v>53</v>
      </c>
      <c r="M50" s="47" t="s">
        <v>210</v>
      </c>
    </row>
    <row r="51" spans="1:13" s="48" customFormat="1" ht="125.25" customHeight="1">
      <c r="A51" s="46">
        <v>47</v>
      </c>
      <c r="B51" s="16" t="s">
        <v>98</v>
      </c>
      <c r="C51" s="12" t="s">
        <v>207</v>
      </c>
      <c r="D51" s="1" t="s">
        <v>124</v>
      </c>
      <c r="E51" s="2">
        <f t="shared" si="4"/>
        <v>0.14606569900687547</v>
      </c>
      <c r="F51" s="3">
        <v>773</v>
      </c>
      <c r="G51" s="3">
        <v>183</v>
      </c>
      <c r="H51" s="3">
        <v>6545</v>
      </c>
      <c r="I51" s="3">
        <v>4201</v>
      </c>
      <c r="J51" s="3">
        <f t="shared" si="2"/>
        <v>2344</v>
      </c>
      <c r="K51" s="17" t="s">
        <v>26</v>
      </c>
      <c r="L51" s="18" t="s">
        <v>209</v>
      </c>
      <c r="M51" s="47" t="s">
        <v>210</v>
      </c>
    </row>
    <row r="52" spans="1:13" s="48" customFormat="1" ht="81.75" customHeight="1">
      <c r="A52" s="46">
        <v>48</v>
      </c>
      <c r="B52" s="16" t="s">
        <v>98</v>
      </c>
      <c r="C52" s="12" t="s">
        <v>235</v>
      </c>
      <c r="D52" s="1" t="s">
        <v>124</v>
      </c>
      <c r="E52" s="2">
        <f>(F52+G52)/H52</f>
        <v>0.47324756522784656</v>
      </c>
      <c r="F52" s="3">
        <v>3936</v>
      </c>
      <c r="G52" s="3">
        <v>0</v>
      </c>
      <c r="H52" s="3">
        <v>8317</v>
      </c>
      <c r="I52" s="3">
        <v>4882</v>
      </c>
      <c r="J52" s="3">
        <f>H52-I52</f>
        <v>3435</v>
      </c>
      <c r="K52" s="22" t="s">
        <v>205</v>
      </c>
      <c r="L52" s="18" t="s">
        <v>204</v>
      </c>
      <c r="M52" s="47" t="s">
        <v>210</v>
      </c>
    </row>
    <row r="53" spans="1:13" s="48" customFormat="1" ht="132.75" customHeight="1">
      <c r="A53" s="46">
        <v>49</v>
      </c>
      <c r="B53" s="16" t="s">
        <v>98</v>
      </c>
      <c r="C53" s="12" t="s">
        <v>234</v>
      </c>
      <c r="D53" s="12" t="s">
        <v>124</v>
      </c>
      <c r="E53" s="2">
        <f t="shared" si="4"/>
        <v>2.1492866847826089</v>
      </c>
      <c r="F53" s="3">
        <v>12655</v>
      </c>
      <c r="G53" s="3">
        <v>0</v>
      </c>
      <c r="H53" s="3">
        <v>5888</v>
      </c>
      <c r="I53" s="3">
        <v>2748</v>
      </c>
      <c r="J53" s="3">
        <f t="shared" si="2"/>
        <v>3140</v>
      </c>
      <c r="K53" s="24" t="s">
        <v>27</v>
      </c>
      <c r="L53" s="22" t="s">
        <v>53</v>
      </c>
      <c r="M53" s="47" t="s">
        <v>210</v>
      </c>
    </row>
    <row r="54" spans="1:13" s="48" customFormat="1" ht="90" customHeight="1">
      <c r="A54" s="46">
        <v>50</v>
      </c>
      <c r="B54" s="16" t="s">
        <v>98</v>
      </c>
      <c r="C54" s="12" t="s">
        <v>69</v>
      </c>
      <c r="D54" s="12" t="s">
        <v>236</v>
      </c>
      <c r="E54" s="2">
        <f t="shared" si="4"/>
        <v>0.20561773096335309</v>
      </c>
      <c r="F54" s="3">
        <v>1874</v>
      </c>
      <c r="G54" s="3">
        <v>0</v>
      </c>
      <c r="H54" s="3">
        <v>9114</v>
      </c>
      <c r="I54" s="3">
        <v>4460</v>
      </c>
      <c r="J54" s="3">
        <f t="shared" si="2"/>
        <v>4654</v>
      </c>
      <c r="K54" s="22" t="s">
        <v>70</v>
      </c>
      <c r="L54" s="24" t="s">
        <v>208</v>
      </c>
      <c r="M54" s="47" t="s">
        <v>210</v>
      </c>
    </row>
    <row r="55" spans="1:13" s="48" customFormat="1" ht="84.75" customHeight="1">
      <c r="A55" s="46">
        <v>51</v>
      </c>
      <c r="B55" s="16" t="s">
        <v>99</v>
      </c>
      <c r="C55" s="1" t="s">
        <v>13</v>
      </c>
      <c r="D55" s="1" t="s">
        <v>87</v>
      </c>
      <c r="E55" s="2">
        <f t="shared" si="4"/>
        <v>0.6596988965924413</v>
      </c>
      <c r="F55" s="3">
        <v>80276</v>
      </c>
      <c r="G55" s="3">
        <v>2410</v>
      </c>
      <c r="H55" s="3">
        <v>125339</v>
      </c>
      <c r="I55" s="3">
        <v>48439</v>
      </c>
      <c r="J55" s="3">
        <f t="shared" si="2"/>
        <v>76900</v>
      </c>
      <c r="K55" s="22" t="s">
        <v>66</v>
      </c>
      <c r="L55" s="22" t="s">
        <v>91</v>
      </c>
      <c r="M55" s="47" t="s">
        <v>210</v>
      </c>
    </row>
    <row r="56" spans="1:13" s="48" customFormat="1" ht="96.75" customHeight="1">
      <c r="A56" s="46">
        <v>52</v>
      </c>
      <c r="B56" s="16" t="s">
        <v>99</v>
      </c>
      <c r="C56" s="1" t="s">
        <v>12</v>
      </c>
      <c r="D56" s="1" t="s">
        <v>88</v>
      </c>
      <c r="E56" s="2">
        <f t="shared" si="4"/>
        <v>1.4581881533101044</v>
      </c>
      <c r="F56" s="3">
        <v>798</v>
      </c>
      <c r="G56" s="3">
        <v>39</v>
      </c>
      <c r="H56" s="3">
        <v>574</v>
      </c>
      <c r="I56" s="3">
        <v>401</v>
      </c>
      <c r="J56" s="3">
        <f t="shared" si="2"/>
        <v>173</v>
      </c>
      <c r="K56" s="17" t="s">
        <v>31</v>
      </c>
      <c r="L56" s="18" t="s">
        <v>186</v>
      </c>
      <c r="M56" s="47" t="s">
        <v>210</v>
      </c>
    </row>
    <row r="57" spans="1:13" s="48" customFormat="1" ht="100.5" customHeight="1">
      <c r="A57" s="46">
        <v>53</v>
      </c>
      <c r="B57" s="16" t="s">
        <v>99</v>
      </c>
      <c r="C57" s="1" t="s">
        <v>11</v>
      </c>
      <c r="D57" s="1" t="s">
        <v>88</v>
      </c>
      <c r="E57" s="2">
        <f t="shared" si="4"/>
        <v>1.0862557177085603</v>
      </c>
      <c r="F57" s="3">
        <v>4987</v>
      </c>
      <c r="G57" s="3">
        <v>0</v>
      </c>
      <c r="H57" s="3">
        <v>4591</v>
      </c>
      <c r="I57" s="3">
        <v>3210</v>
      </c>
      <c r="J57" s="3">
        <f t="shared" si="2"/>
        <v>1381</v>
      </c>
      <c r="K57" s="24" t="s">
        <v>30</v>
      </c>
      <c r="L57" s="24" t="s">
        <v>110</v>
      </c>
      <c r="M57" s="47" t="s">
        <v>210</v>
      </c>
    </row>
    <row r="58" spans="1:13" s="48" customFormat="1" ht="86.25" customHeight="1">
      <c r="A58" s="46">
        <v>54</v>
      </c>
      <c r="B58" s="16" t="s">
        <v>99</v>
      </c>
      <c r="C58" s="1" t="s">
        <v>185</v>
      </c>
      <c r="D58" s="1" t="s">
        <v>142</v>
      </c>
      <c r="E58" s="2">
        <f t="shared" si="4"/>
        <v>1.0902428872095817</v>
      </c>
      <c r="F58" s="3">
        <v>185966</v>
      </c>
      <c r="G58" s="3">
        <v>0</v>
      </c>
      <c r="H58" s="3">
        <v>170573</v>
      </c>
      <c r="I58" s="3">
        <v>96309</v>
      </c>
      <c r="J58" s="3">
        <f t="shared" si="2"/>
        <v>74264</v>
      </c>
      <c r="K58" s="24" t="s">
        <v>32</v>
      </c>
      <c r="L58" s="24" t="s">
        <v>110</v>
      </c>
      <c r="M58" s="47" t="s">
        <v>210</v>
      </c>
    </row>
    <row r="59" spans="1:13" s="48" customFormat="1" ht="85.5" customHeight="1">
      <c r="A59" s="46">
        <v>55</v>
      </c>
      <c r="B59" s="16" t="s">
        <v>92</v>
      </c>
      <c r="C59" s="12" t="s">
        <v>0</v>
      </c>
      <c r="D59" s="1" t="s">
        <v>37</v>
      </c>
      <c r="E59" s="2" t="s">
        <v>109</v>
      </c>
      <c r="F59" s="3">
        <v>0</v>
      </c>
      <c r="G59" s="3">
        <v>0</v>
      </c>
      <c r="H59" s="3">
        <v>36031</v>
      </c>
      <c r="I59" s="3">
        <v>20804</v>
      </c>
      <c r="J59" s="3">
        <f t="shared" si="2"/>
        <v>15227</v>
      </c>
      <c r="K59" s="17" t="s">
        <v>18</v>
      </c>
      <c r="L59" s="17" t="s">
        <v>110</v>
      </c>
      <c r="M59" s="47" t="s">
        <v>210</v>
      </c>
    </row>
    <row r="60" spans="1:13" s="48" customFormat="1" ht="107.25" customHeight="1">
      <c r="A60" s="46">
        <v>56</v>
      </c>
      <c r="B60" s="16" t="s">
        <v>95</v>
      </c>
      <c r="C60" s="1" t="s">
        <v>250</v>
      </c>
      <c r="D60" s="12" t="s">
        <v>120</v>
      </c>
      <c r="E60" s="2">
        <f>(F60+G60)/H60</f>
        <v>0.23646666666666666</v>
      </c>
      <c r="F60" s="3">
        <v>3503</v>
      </c>
      <c r="G60" s="57">
        <v>44</v>
      </c>
      <c r="H60" s="3">
        <v>15000</v>
      </c>
      <c r="I60" s="3">
        <f>11057*0.92369</f>
        <v>10213.240330000001</v>
      </c>
      <c r="J60" s="3">
        <f t="shared" si="2"/>
        <v>4786.7596699999995</v>
      </c>
      <c r="K60" s="22" t="s">
        <v>62</v>
      </c>
      <c r="L60" s="22" t="s">
        <v>110</v>
      </c>
      <c r="M60" s="47" t="s">
        <v>210</v>
      </c>
    </row>
    <row r="61" spans="1:13" s="48" customFormat="1" ht="125.25" customHeight="1">
      <c r="A61" s="46">
        <v>57</v>
      </c>
      <c r="B61" s="16" t="s">
        <v>96</v>
      </c>
      <c r="C61" s="1" t="s">
        <v>1</v>
      </c>
      <c r="D61" s="1" t="s">
        <v>121</v>
      </c>
      <c r="E61" s="2">
        <f>(F61+G61)/H61</f>
        <v>0.24892649499030994</v>
      </c>
      <c r="F61" s="3">
        <v>19652</v>
      </c>
      <c r="G61" s="3">
        <v>0</v>
      </c>
      <c r="H61" s="3">
        <v>78947</v>
      </c>
      <c r="I61" s="3">
        <v>30735</v>
      </c>
      <c r="J61" s="3">
        <f t="shared" si="2"/>
        <v>48212</v>
      </c>
      <c r="K61" s="22" t="s">
        <v>224</v>
      </c>
      <c r="L61" s="22" t="s">
        <v>110</v>
      </c>
      <c r="M61" s="47" t="s">
        <v>210</v>
      </c>
    </row>
    <row r="62" spans="1:13" s="48" customFormat="1" ht="123" customHeight="1">
      <c r="A62" s="46">
        <v>58</v>
      </c>
      <c r="B62" s="16" t="s">
        <v>96</v>
      </c>
      <c r="C62" s="1" t="s">
        <v>2</v>
      </c>
      <c r="D62" s="1" t="s">
        <v>121</v>
      </c>
      <c r="E62" s="2">
        <f>(F62+G62)/H62</f>
        <v>0.33548824706700053</v>
      </c>
      <c r="F62" s="3">
        <v>40063</v>
      </c>
      <c r="G62" s="3">
        <v>0</v>
      </c>
      <c r="H62" s="3">
        <v>119417</v>
      </c>
      <c r="I62" s="3">
        <v>35319</v>
      </c>
      <c r="J62" s="3">
        <f t="shared" si="2"/>
        <v>84098</v>
      </c>
      <c r="K62" s="22" t="s">
        <v>225</v>
      </c>
      <c r="L62" s="22" t="s">
        <v>110</v>
      </c>
      <c r="M62" s="47" t="s">
        <v>210</v>
      </c>
    </row>
    <row r="63" spans="1:13" s="48" customFormat="1" ht="97.5" customHeight="1">
      <c r="A63" s="46">
        <v>59</v>
      </c>
      <c r="B63" s="16" t="s">
        <v>96</v>
      </c>
      <c r="C63" s="12" t="s">
        <v>259</v>
      </c>
      <c r="D63" s="1" t="s">
        <v>230</v>
      </c>
      <c r="E63" s="2" t="s">
        <v>109</v>
      </c>
      <c r="F63" s="3">
        <v>0</v>
      </c>
      <c r="G63" s="3">
        <v>0</v>
      </c>
      <c r="H63" s="3">
        <v>6072</v>
      </c>
      <c r="I63" s="3">
        <f>3736*0.89111</f>
        <v>3329.18696</v>
      </c>
      <c r="J63" s="3">
        <f t="shared" si="2"/>
        <v>2742.81304</v>
      </c>
      <c r="K63" s="22" t="s">
        <v>18</v>
      </c>
      <c r="L63" s="22" t="s">
        <v>110</v>
      </c>
      <c r="M63" s="47" t="s">
        <v>210</v>
      </c>
    </row>
    <row r="64" spans="1:13" s="48" customFormat="1" ht="108.75" customHeight="1">
      <c r="A64" s="46">
        <v>60</v>
      </c>
      <c r="B64" s="16" t="s">
        <v>96</v>
      </c>
      <c r="C64" s="12" t="s">
        <v>315</v>
      </c>
      <c r="D64" s="12" t="s">
        <v>146</v>
      </c>
      <c r="E64" s="2">
        <f>(F64+G64)/H64</f>
        <v>0.3512076351483272</v>
      </c>
      <c r="F64" s="3">
        <v>30580</v>
      </c>
      <c r="G64" s="3">
        <v>0</v>
      </c>
      <c r="H64" s="3">
        <v>87071</v>
      </c>
      <c r="I64" s="3">
        <v>35973</v>
      </c>
      <c r="J64" s="3">
        <f t="shared" si="2"/>
        <v>51098</v>
      </c>
      <c r="K64" s="22" t="s">
        <v>226</v>
      </c>
      <c r="L64" s="22" t="s">
        <v>110</v>
      </c>
      <c r="M64" s="47" t="s">
        <v>210</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262</v>
      </c>
    </row>
    <row r="2" spans="1:13" ht="51" customHeight="1">
      <c r="A2" s="15"/>
      <c r="B2" s="15"/>
      <c r="C2" s="15"/>
      <c r="D2" s="15"/>
      <c r="E2" s="15"/>
      <c r="F2" s="15"/>
      <c r="G2" s="15"/>
      <c r="H2" s="15"/>
      <c r="I2" s="13"/>
      <c r="J2" s="13"/>
      <c r="K2" s="14"/>
      <c r="L2" s="14"/>
      <c r="M2" s="26"/>
    </row>
    <row r="3" spans="1:13" ht="42.75" customHeight="1">
      <c r="A3" s="144"/>
      <c r="B3" s="145" t="s">
        <v>103</v>
      </c>
      <c r="C3" s="145" t="s">
        <v>73</v>
      </c>
      <c r="D3" s="19"/>
      <c r="E3" s="148" t="s">
        <v>263</v>
      </c>
      <c r="F3" s="143" t="s">
        <v>106</v>
      </c>
      <c r="G3" s="143" t="s">
        <v>105</v>
      </c>
      <c r="H3" s="138" t="s">
        <v>104</v>
      </c>
      <c r="I3" s="28" t="s">
        <v>16</v>
      </c>
      <c r="J3" s="29"/>
      <c r="K3" s="140" t="s">
        <v>17</v>
      </c>
      <c r="L3" s="141" t="s">
        <v>38</v>
      </c>
      <c r="M3" s="143" t="s">
        <v>90</v>
      </c>
    </row>
    <row r="4" spans="1:13" ht="34.5" customHeight="1">
      <c r="A4" s="144"/>
      <c r="B4" s="145"/>
      <c r="C4" s="145"/>
      <c r="D4" s="20" t="s">
        <v>36</v>
      </c>
      <c r="E4" s="149"/>
      <c r="F4" s="140"/>
      <c r="G4" s="140"/>
      <c r="H4" s="139"/>
      <c r="I4" s="21" t="s">
        <v>14</v>
      </c>
      <c r="J4" s="21" t="s">
        <v>15</v>
      </c>
      <c r="K4" s="140"/>
      <c r="L4" s="142"/>
      <c r="M4" s="143"/>
    </row>
    <row r="5" spans="1:13" s="48" customFormat="1" ht="90" customHeight="1">
      <c r="A5" s="46">
        <v>1</v>
      </c>
      <c r="B5" s="16" t="s">
        <v>102</v>
      </c>
      <c r="C5" s="12" t="s">
        <v>80</v>
      </c>
      <c r="D5" s="1" t="s">
        <v>229</v>
      </c>
      <c r="E5" s="2">
        <f>(F5+G5)/H5</f>
        <v>0.238731897814178</v>
      </c>
      <c r="F5" s="3">
        <v>6235</v>
      </c>
      <c r="G5" s="3">
        <v>2568</v>
      </c>
      <c r="H5" s="3">
        <v>36874</v>
      </c>
      <c r="I5" s="3">
        <f>21758+2569</f>
        <v>24327</v>
      </c>
      <c r="J5" s="3">
        <f t="shared" ref="J5:J64" si="0">H5-I5</f>
        <v>12547</v>
      </c>
      <c r="K5" s="22" t="s">
        <v>34</v>
      </c>
      <c r="L5" s="22" t="s">
        <v>52</v>
      </c>
      <c r="M5" s="47" t="s">
        <v>210</v>
      </c>
    </row>
    <row r="6" spans="1:13" s="48" customFormat="1" ht="117" customHeight="1">
      <c r="A6" s="46">
        <v>2</v>
      </c>
      <c r="B6" s="16" t="s">
        <v>102</v>
      </c>
      <c r="C6" s="12" t="s">
        <v>81</v>
      </c>
      <c r="D6" s="1" t="s">
        <v>264</v>
      </c>
      <c r="E6" s="2">
        <f>(F6+G6)/H6</f>
        <v>0.35967342991575385</v>
      </c>
      <c r="F6" s="4">
        <v>37587</v>
      </c>
      <c r="G6" s="4">
        <v>1093</v>
      </c>
      <c r="H6" s="4">
        <v>107542</v>
      </c>
      <c r="I6" s="4">
        <v>44695</v>
      </c>
      <c r="J6" s="4">
        <f t="shared" si="0"/>
        <v>62847</v>
      </c>
      <c r="K6" s="22" t="s">
        <v>60</v>
      </c>
      <c r="L6" s="22" t="s">
        <v>265</v>
      </c>
      <c r="M6" s="47" t="s">
        <v>210</v>
      </c>
    </row>
    <row r="7" spans="1:13" s="48" customFormat="1" ht="95.25" customHeight="1">
      <c r="A7" s="46">
        <v>3</v>
      </c>
      <c r="B7" s="16" t="s">
        <v>100</v>
      </c>
      <c r="C7" s="12" t="s">
        <v>266</v>
      </c>
      <c r="D7" s="1" t="s">
        <v>264</v>
      </c>
      <c r="E7" s="2">
        <f>(F7+G7)/H7</f>
        <v>0.22551484505212011</v>
      </c>
      <c r="F7" s="4">
        <v>6747</v>
      </c>
      <c r="G7" s="4">
        <v>1236</v>
      </c>
      <c r="H7" s="4">
        <f>36003-604</f>
        <v>35399</v>
      </c>
      <c r="I7" s="4">
        <f>14091-604</f>
        <v>13487</v>
      </c>
      <c r="J7" s="4">
        <f t="shared" si="0"/>
        <v>21912</v>
      </c>
      <c r="K7" s="22" t="s">
        <v>33</v>
      </c>
      <c r="L7" s="22" t="s">
        <v>267</v>
      </c>
      <c r="M7" s="47" t="s">
        <v>210</v>
      </c>
    </row>
    <row r="8" spans="1:13" s="48" customFormat="1" ht="163.5" customHeight="1">
      <c r="A8" s="46">
        <v>4</v>
      </c>
      <c r="B8" s="16" t="s">
        <v>100</v>
      </c>
      <c r="C8" s="12" t="s">
        <v>75</v>
      </c>
      <c r="D8" s="1" t="s">
        <v>264</v>
      </c>
      <c r="E8" s="2">
        <f>(F8+G8)/H8</f>
        <v>0.7459486216032265</v>
      </c>
      <c r="F8" s="4">
        <v>129014</v>
      </c>
      <c r="G8" s="4">
        <v>3600</v>
      </c>
      <c r="H8" s="51">
        <f>180339-2560</f>
        <v>177779</v>
      </c>
      <c r="I8" s="51">
        <f>59303-2560</f>
        <v>56743</v>
      </c>
      <c r="J8" s="51">
        <f t="shared" si="0"/>
        <v>121036</v>
      </c>
      <c r="K8" s="23" t="s">
        <v>198</v>
      </c>
      <c r="L8" s="23" t="s">
        <v>150</v>
      </c>
      <c r="M8" s="47" t="s">
        <v>210</v>
      </c>
    </row>
    <row r="9" spans="1:13" s="48" customFormat="1" ht="95.25" customHeight="1">
      <c r="A9" s="46">
        <v>5</v>
      </c>
      <c r="B9" s="16" t="s">
        <v>100</v>
      </c>
      <c r="C9" s="12" t="s">
        <v>268</v>
      </c>
      <c r="D9" s="1" t="s">
        <v>230</v>
      </c>
      <c r="E9" s="52" t="s">
        <v>269</v>
      </c>
      <c r="F9" s="3">
        <v>0</v>
      </c>
      <c r="G9" s="3">
        <v>0</v>
      </c>
      <c r="H9" s="3">
        <v>7145</v>
      </c>
      <c r="I9" s="3">
        <v>4059</v>
      </c>
      <c r="J9" s="3">
        <f t="shared" si="0"/>
        <v>3086</v>
      </c>
      <c r="K9" s="24" t="s">
        <v>18</v>
      </c>
      <c r="L9" s="24" t="s">
        <v>270</v>
      </c>
      <c r="M9" s="47" t="s">
        <v>210</v>
      </c>
    </row>
    <row r="10" spans="1:13" s="48" customFormat="1" ht="106.5" customHeight="1">
      <c r="A10" s="46">
        <v>6</v>
      </c>
      <c r="B10" s="16" t="s">
        <v>102</v>
      </c>
      <c r="C10" s="1" t="s">
        <v>271</v>
      </c>
      <c r="D10" s="12" t="s">
        <v>272</v>
      </c>
      <c r="E10" s="2">
        <f>(F10+G10)/H10</f>
        <v>0.28208007601606705</v>
      </c>
      <c r="F10" s="3">
        <v>12416</v>
      </c>
      <c r="G10" s="3">
        <v>646</v>
      </c>
      <c r="H10" s="3">
        <v>46306</v>
      </c>
      <c r="I10" s="3">
        <f>10075+3767</f>
        <v>13842</v>
      </c>
      <c r="J10" s="3">
        <f t="shared" si="0"/>
        <v>32464</v>
      </c>
      <c r="K10" s="22" t="s">
        <v>86</v>
      </c>
      <c r="L10" s="22" t="s">
        <v>202</v>
      </c>
      <c r="M10" s="47" t="s">
        <v>210</v>
      </c>
    </row>
    <row r="11" spans="1:13" s="48" customFormat="1" ht="132" customHeight="1">
      <c r="A11" s="46">
        <v>7</v>
      </c>
      <c r="B11" s="16" t="s">
        <v>102</v>
      </c>
      <c r="C11" s="12" t="s">
        <v>188</v>
      </c>
      <c r="D11" s="1" t="s">
        <v>230</v>
      </c>
      <c r="E11" s="2">
        <f>(F11+G11)/30021</f>
        <v>0.12674461210485993</v>
      </c>
      <c r="F11" s="3">
        <v>3540</v>
      </c>
      <c r="G11" s="3">
        <v>265</v>
      </c>
      <c r="H11" s="3">
        <v>39440</v>
      </c>
      <c r="I11" s="3">
        <v>26860</v>
      </c>
      <c r="J11" s="3">
        <f t="shared" si="0"/>
        <v>12580</v>
      </c>
      <c r="K11" s="22" t="s">
        <v>134</v>
      </c>
      <c r="L11" s="22" t="s">
        <v>51</v>
      </c>
      <c r="M11" s="47" t="s">
        <v>210</v>
      </c>
    </row>
    <row r="12" spans="1:13" s="48" customFormat="1" ht="96.75" customHeight="1">
      <c r="A12" s="46">
        <v>8</v>
      </c>
      <c r="B12" s="16" t="s">
        <v>102</v>
      </c>
      <c r="C12" s="12" t="s">
        <v>273</v>
      </c>
      <c r="D12" s="1" t="s">
        <v>230</v>
      </c>
      <c r="E12" s="2" t="s">
        <v>109</v>
      </c>
      <c r="F12" s="3">
        <v>0</v>
      </c>
      <c r="G12" s="3">
        <v>0</v>
      </c>
      <c r="H12" s="3">
        <v>19906</v>
      </c>
      <c r="I12" s="3">
        <v>11635</v>
      </c>
      <c r="J12" s="3">
        <f t="shared" si="0"/>
        <v>8271</v>
      </c>
      <c r="K12" s="24" t="s">
        <v>18</v>
      </c>
      <c r="L12" s="24" t="s">
        <v>110</v>
      </c>
      <c r="M12" s="47" t="s">
        <v>210</v>
      </c>
    </row>
    <row r="13" spans="1:13" s="48" customFormat="1" ht="101.25" customHeight="1">
      <c r="A13" s="46">
        <v>9</v>
      </c>
      <c r="B13" s="16" t="s">
        <v>102</v>
      </c>
      <c r="C13" s="12" t="s">
        <v>133</v>
      </c>
      <c r="D13" s="1" t="s">
        <v>230</v>
      </c>
      <c r="E13" s="2" t="s">
        <v>109</v>
      </c>
      <c r="F13" s="3">
        <v>0</v>
      </c>
      <c r="G13" s="3">
        <v>0</v>
      </c>
      <c r="H13" s="3">
        <v>7984</v>
      </c>
      <c r="I13" s="3">
        <v>3563</v>
      </c>
      <c r="J13" s="3">
        <f t="shared" si="0"/>
        <v>4421</v>
      </c>
      <c r="K13" s="24" t="s">
        <v>18</v>
      </c>
      <c r="L13" s="24" t="s">
        <v>110</v>
      </c>
      <c r="M13" s="47" t="s">
        <v>210</v>
      </c>
    </row>
    <row r="14" spans="1:13" s="48" customFormat="1" ht="127.5" customHeight="1">
      <c r="A14" s="46">
        <v>10</v>
      </c>
      <c r="B14" s="16" t="s">
        <v>102</v>
      </c>
      <c r="C14" s="12" t="s">
        <v>82</v>
      </c>
      <c r="D14" s="1" t="s">
        <v>126</v>
      </c>
      <c r="E14" s="2">
        <f t="shared" ref="E14:E34" si="1">(F14+G14)/H14</f>
        <v>0.51914088328507257</v>
      </c>
      <c r="F14" s="4">
        <v>378054</v>
      </c>
      <c r="G14" s="4">
        <v>31788</v>
      </c>
      <c r="H14" s="4">
        <v>789462</v>
      </c>
      <c r="I14" s="4">
        <v>245366</v>
      </c>
      <c r="J14" s="4">
        <f t="shared" si="0"/>
        <v>544096</v>
      </c>
      <c r="K14" s="22" t="s">
        <v>59</v>
      </c>
      <c r="L14" s="22" t="s">
        <v>48</v>
      </c>
      <c r="M14" s="47" t="s">
        <v>210</v>
      </c>
    </row>
    <row r="15" spans="1:13" s="48" customFormat="1" ht="99.75" customHeight="1">
      <c r="A15" s="46">
        <v>11</v>
      </c>
      <c r="B15" s="16" t="s">
        <v>102</v>
      </c>
      <c r="C15" s="12" t="s">
        <v>274</v>
      </c>
      <c r="D15" s="12" t="s">
        <v>275</v>
      </c>
      <c r="E15" s="2">
        <f t="shared" si="1"/>
        <v>0.94528727988140271</v>
      </c>
      <c r="F15" s="4">
        <v>51778</v>
      </c>
      <c r="G15" s="4">
        <v>16450</v>
      </c>
      <c r="H15" s="4">
        <v>72177</v>
      </c>
      <c r="I15" s="4">
        <v>2833</v>
      </c>
      <c r="J15" s="4">
        <f t="shared" si="0"/>
        <v>69344</v>
      </c>
      <c r="K15" s="25" t="s">
        <v>22</v>
      </c>
      <c r="L15" s="23" t="s">
        <v>49</v>
      </c>
      <c r="M15" s="47" t="s">
        <v>210</v>
      </c>
    </row>
    <row r="16" spans="1:13" s="48" customFormat="1" ht="108.75" customHeight="1">
      <c r="A16" s="46">
        <v>12</v>
      </c>
      <c r="B16" s="16" t="s">
        <v>102</v>
      </c>
      <c r="C16" s="1" t="s">
        <v>276</v>
      </c>
      <c r="D16" s="12" t="s">
        <v>231</v>
      </c>
      <c r="E16" s="2">
        <f t="shared" si="1"/>
        <v>0.50700957727873186</v>
      </c>
      <c r="F16" s="3">
        <v>122060</v>
      </c>
      <c r="G16" s="3">
        <v>758</v>
      </c>
      <c r="H16" s="3">
        <v>242240</v>
      </c>
      <c r="I16" s="3">
        <f>40717+3241</f>
        <v>43958</v>
      </c>
      <c r="J16" s="3">
        <f t="shared" si="0"/>
        <v>198282</v>
      </c>
      <c r="K16" s="22" t="s">
        <v>149</v>
      </c>
      <c r="L16" s="22" t="s">
        <v>50</v>
      </c>
      <c r="M16" s="47" t="s">
        <v>210</v>
      </c>
    </row>
    <row r="17" spans="1:13" s="48" customFormat="1" ht="133.5" customHeight="1">
      <c r="A17" s="46">
        <v>13</v>
      </c>
      <c r="B17" s="16" t="s">
        <v>94</v>
      </c>
      <c r="C17" s="12" t="s">
        <v>79</v>
      </c>
      <c r="D17" s="1" t="s">
        <v>136</v>
      </c>
      <c r="E17" s="2">
        <f t="shared" si="1"/>
        <v>0.1753778217671019</v>
      </c>
      <c r="F17" s="3">
        <v>21229</v>
      </c>
      <c r="G17" s="3">
        <v>1806</v>
      </c>
      <c r="H17" s="3">
        <f>138738-1119-6273-1</f>
        <v>131345</v>
      </c>
      <c r="I17" s="3">
        <f>63850-1119-6273</f>
        <v>56458</v>
      </c>
      <c r="J17" s="3">
        <f t="shared" si="0"/>
        <v>74887</v>
      </c>
      <c r="K17" s="22" t="s">
        <v>277</v>
      </c>
      <c r="L17" s="22" t="s">
        <v>201</v>
      </c>
      <c r="M17" s="47" t="s">
        <v>210</v>
      </c>
    </row>
    <row r="18" spans="1:13" s="48" customFormat="1" ht="135.75" customHeight="1">
      <c r="A18" s="46">
        <v>14</v>
      </c>
      <c r="B18" s="16" t="s">
        <v>94</v>
      </c>
      <c r="C18" s="12" t="s">
        <v>189</v>
      </c>
      <c r="D18" s="1" t="s">
        <v>232</v>
      </c>
      <c r="E18" s="2">
        <f t="shared" si="1"/>
        <v>0.17552599635848676</v>
      </c>
      <c r="F18" s="3">
        <v>6790</v>
      </c>
      <c r="G18" s="3">
        <v>151</v>
      </c>
      <c r="H18" s="3">
        <v>39544</v>
      </c>
      <c r="I18" s="49">
        <v>22725</v>
      </c>
      <c r="J18" s="49">
        <f t="shared" si="0"/>
        <v>16819</v>
      </c>
      <c r="K18" s="22" t="s">
        <v>57</v>
      </c>
      <c r="L18" s="22" t="s">
        <v>278</v>
      </c>
      <c r="M18" s="47" t="s">
        <v>210</v>
      </c>
    </row>
    <row r="19" spans="1:13" s="48" customFormat="1" ht="114" customHeight="1">
      <c r="A19" s="46">
        <v>15</v>
      </c>
      <c r="B19" s="16" t="s">
        <v>94</v>
      </c>
      <c r="C19" s="12" t="s">
        <v>190</v>
      </c>
      <c r="D19" s="1" t="s">
        <v>233</v>
      </c>
      <c r="E19" s="2">
        <f t="shared" si="1"/>
        <v>0.30818503624148147</v>
      </c>
      <c r="F19" s="3">
        <v>12358</v>
      </c>
      <c r="G19" s="3">
        <v>440</v>
      </c>
      <c r="H19" s="3">
        <v>41527</v>
      </c>
      <c r="I19" s="49">
        <v>23862</v>
      </c>
      <c r="J19" s="49">
        <f t="shared" si="0"/>
        <v>17665</v>
      </c>
      <c r="K19" s="22" t="s">
        <v>58</v>
      </c>
      <c r="L19" s="22" t="s">
        <v>278</v>
      </c>
      <c r="M19" s="47" t="s">
        <v>210</v>
      </c>
    </row>
    <row r="20" spans="1:13" s="48" customFormat="1" ht="96" customHeight="1">
      <c r="A20" s="46">
        <v>16</v>
      </c>
      <c r="B20" s="16" t="s">
        <v>94</v>
      </c>
      <c r="C20" s="12" t="s">
        <v>279</v>
      </c>
      <c r="D20" s="1" t="s">
        <v>43</v>
      </c>
      <c r="E20" s="2">
        <f t="shared" si="1"/>
        <v>0.20571481073134876</v>
      </c>
      <c r="F20" s="3">
        <v>4478</v>
      </c>
      <c r="G20" s="3">
        <v>0</v>
      </c>
      <c r="H20" s="3">
        <v>21768</v>
      </c>
      <c r="I20" s="3">
        <v>11718</v>
      </c>
      <c r="J20" s="3">
        <f t="shared" si="0"/>
        <v>10050</v>
      </c>
      <c r="K20" s="22" t="s">
        <v>23</v>
      </c>
      <c r="L20" s="22" t="s">
        <v>280</v>
      </c>
      <c r="M20" s="47" t="s">
        <v>210</v>
      </c>
    </row>
    <row r="21" spans="1:13" s="48" customFormat="1" ht="108" customHeight="1">
      <c r="A21" s="46">
        <v>17</v>
      </c>
      <c r="B21" s="16" t="s">
        <v>94</v>
      </c>
      <c r="C21" s="12" t="s">
        <v>192</v>
      </c>
      <c r="D21" s="12" t="s">
        <v>281</v>
      </c>
      <c r="E21" s="2">
        <f t="shared" si="1"/>
        <v>0.12575206407315584</v>
      </c>
      <c r="F21" s="3">
        <v>12606</v>
      </c>
      <c r="G21" s="3">
        <v>3676</v>
      </c>
      <c r="H21" s="3">
        <v>129477</v>
      </c>
      <c r="I21" s="3">
        <f>63737-2758</f>
        <v>60979</v>
      </c>
      <c r="J21" s="3">
        <f t="shared" si="0"/>
        <v>68498</v>
      </c>
      <c r="K21" s="22" t="s">
        <v>68</v>
      </c>
      <c r="L21" s="22" t="s">
        <v>282</v>
      </c>
      <c r="M21" s="47" t="s">
        <v>210</v>
      </c>
    </row>
    <row r="22" spans="1:13" s="48" customFormat="1" ht="143.25" customHeight="1">
      <c r="A22" s="46">
        <v>18</v>
      </c>
      <c r="B22" s="16" t="s">
        <v>94</v>
      </c>
      <c r="C22" s="12" t="s">
        <v>283</v>
      </c>
      <c r="D22" s="12" t="s">
        <v>284</v>
      </c>
      <c r="E22" s="2">
        <f t="shared" si="1"/>
        <v>0.19924297334299751</v>
      </c>
      <c r="F22" s="53">
        <v>14284</v>
      </c>
      <c r="G22" s="53">
        <v>12930</v>
      </c>
      <c r="H22" s="53">
        <f>208206-70022-1597</f>
        <v>136587</v>
      </c>
      <c r="I22" s="54">
        <f>70148-1597</f>
        <v>68551</v>
      </c>
      <c r="J22" s="54">
        <f t="shared" si="0"/>
        <v>68036</v>
      </c>
      <c r="K22" s="55" t="s">
        <v>63</v>
      </c>
      <c r="L22" s="22" t="s">
        <v>278</v>
      </c>
      <c r="M22" s="47" t="s">
        <v>210</v>
      </c>
    </row>
    <row r="23" spans="1:13" s="48" customFormat="1" ht="141.75" customHeight="1">
      <c r="A23" s="46">
        <v>19</v>
      </c>
      <c r="B23" s="16" t="s">
        <v>94</v>
      </c>
      <c r="C23" s="12" t="s">
        <v>285</v>
      </c>
      <c r="D23" s="12" t="s">
        <v>286</v>
      </c>
      <c r="E23" s="2">
        <f t="shared" si="1"/>
        <v>0.20930019680534578</v>
      </c>
      <c r="F23" s="3">
        <v>4442</v>
      </c>
      <c r="G23" s="3">
        <v>131</v>
      </c>
      <c r="H23" s="3">
        <f>29875-8026</f>
        <v>21849</v>
      </c>
      <c r="I23" s="3">
        <v>10993</v>
      </c>
      <c r="J23" s="3">
        <f t="shared" si="0"/>
        <v>10856</v>
      </c>
      <c r="K23" s="22" t="s">
        <v>64</v>
      </c>
      <c r="L23" s="22" t="s">
        <v>118</v>
      </c>
      <c r="M23" s="47" t="s">
        <v>210</v>
      </c>
    </row>
    <row r="24" spans="1:13" s="48" customFormat="1" ht="142.5" customHeight="1">
      <c r="A24" s="46">
        <v>20</v>
      </c>
      <c r="B24" s="16" t="s">
        <v>94</v>
      </c>
      <c r="C24" s="12" t="s">
        <v>195</v>
      </c>
      <c r="D24" s="1" t="s">
        <v>135</v>
      </c>
      <c r="E24" s="2">
        <f t="shared" si="1"/>
        <v>9.1473817358463383E-2</v>
      </c>
      <c r="F24" s="3">
        <v>18603</v>
      </c>
      <c r="G24" s="3">
        <v>1718</v>
      </c>
      <c r="H24" s="3">
        <v>222151</v>
      </c>
      <c r="I24" s="3">
        <f>90115-3677</f>
        <v>86438</v>
      </c>
      <c r="J24" s="3">
        <f t="shared" si="0"/>
        <v>135713</v>
      </c>
      <c r="K24" s="22" t="s">
        <v>55</v>
      </c>
      <c r="L24" s="22" t="s">
        <v>46</v>
      </c>
      <c r="M24" s="47" t="s">
        <v>210</v>
      </c>
    </row>
    <row r="25" spans="1:13" s="48" customFormat="1" ht="151.5" customHeight="1">
      <c r="A25" s="46">
        <v>21</v>
      </c>
      <c r="B25" s="16" t="s">
        <v>94</v>
      </c>
      <c r="C25" s="12" t="s">
        <v>196</v>
      </c>
      <c r="D25" s="1" t="s">
        <v>138</v>
      </c>
      <c r="E25" s="2">
        <f t="shared" si="1"/>
        <v>0.42429158805723849</v>
      </c>
      <c r="F25" s="3">
        <v>75048</v>
      </c>
      <c r="G25" s="3">
        <v>16484</v>
      </c>
      <c r="H25" s="3">
        <v>215729</v>
      </c>
      <c r="I25" s="3">
        <v>40731</v>
      </c>
      <c r="J25" s="3">
        <f t="shared" si="0"/>
        <v>174998</v>
      </c>
      <c r="K25" s="22" t="s">
        <v>24</v>
      </c>
      <c r="L25" s="22" t="s">
        <v>47</v>
      </c>
      <c r="M25" s="47" t="s">
        <v>210</v>
      </c>
    </row>
    <row r="26" spans="1:13" s="48" customFormat="1" ht="154.5" customHeight="1">
      <c r="A26" s="46">
        <v>22</v>
      </c>
      <c r="B26" s="16" t="s">
        <v>94</v>
      </c>
      <c r="C26" s="12" t="s">
        <v>197</v>
      </c>
      <c r="D26" s="1" t="s">
        <v>40</v>
      </c>
      <c r="E26" s="2">
        <f t="shared" si="1"/>
        <v>0.53538030900106337</v>
      </c>
      <c r="F26" s="3">
        <v>214045</v>
      </c>
      <c r="G26" s="3">
        <v>128320</v>
      </c>
      <c r="H26" s="3">
        <v>639480</v>
      </c>
      <c r="I26" s="3">
        <f>139361-5908</f>
        <v>133453</v>
      </c>
      <c r="J26" s="3">
        <f t="shared" si="0"/>
        <v>506027</v>
      </c>
      <c r="K26" s="22" t="s">
        <v>56</v>
      </c>
      <c r="L26" s="22" t="s">
        <v>41</v>
      </c>
      <c r="M26" s="47" t="s">
        <v>210</v>
      </c>
    </row>
    <row r="27" spans="1:13" s="48" customFormat="1" ht="100.5" customHeight="1">
      <c r="A27" s="46">
        <v>23</v>
      </c>
      <c r="B27" s="16" t="s">
        <v>101</v>
      </c>
      <c r="C27" s="1" t="s">
        <v>76</v>
      </c>
      <c r="D27" s="12" t="s">
        <v>287</v>
      </c>
      <c r="E27" s="2">
        <f t="shared" si="1"/>
        <v>0.37642018997951199</v>
      </c>
      <c r="F27" s="3">
        <v>1579</v>
      </c>
      <c r="G27" s="3">
        <v>442</v>
      </c>
      <c r="H27" s="3">
        <f>5458-89</f>
        <v>5369</v>
      </c>
      <c r="I27" s="3">
        <v>0</v>
      </c>
      <c r="J27" s="3">
        <f t="shared" si="0"/>
        <v>5369</v>
      </c>
      <c r="K27" s="22" t="s">
        <v>65</v>
      </c>
      <c r="L27" s="22" t="s">
        <v>211</v>
      </c>
      <c r="M27" s="47" t="s">
        <v>210</v>
      </c>
    </row>
    <row r="28" spans="1:13" s="48" customFormat="1" ht="97.5" customHeight="1">
      <c r="A28" s="46">
        <v>24</v>
      </c>
      <c r="B28" s="16" t="s">
        <v>101</v>
      </c>
      <c r="C28" s="1" t="s">
        <v>77</v>
      </c>
      <c r="D28" s="12" t="s">
        <v>130</v>
      </c>
      <c r="E28" s="2">
        <f t="shared" si="1"/>
        <v>0.3943713958962381</v>
      </c>
      <c r="F28" s="3">
        <v>63539</v>
      </c>
      <c r="G28" s="3">
        <v>1636</v>
      </c>
      <c r="H28" s="3">
        <f>165263</f>
        <v>165263</v>
      </c>
      <c r="I28" s="3">
        <v>53376</v>
      </c>
      <c r="J28" s="3">
        <f t="shared" si="0"/>
        <v>111887</v>
      </c>
      <c r="K28" s="22" t="s">
        <v>131</v>
      </c>
      <c r="L28" s="22" t="s">
        <v>212</v>
      </c>
      <c r="M28" s="47" t="s">
        <v>210</v>
      </c>
    </row>
    <row r="29" spans="1:13" s="48" customFormat="1" ht="153" customHeight="1">
      <c r="A29" s="46">
        <v>25</v>
      </c>
      <c r="B29" s="16" t="s">
        <v>97</v>
      </c>
      <c r="C29" s="1" t="s">
        <v>3</v>
      </c>
      <c r="D29" s="1" t="s">
        <v>122</v>
      </c>
      <c r="E29" s="2">
        <f t="shared" si="1"/>
        <v>8.5330685954710911E-2</v>
      </c>
      <c r="F29" s="3">
        <v>2161</v>
      </c>
      <c r="G29" s="3">
        <v>1449</v>
      </c>
      <c r="H29" s="3">
        <f>42305+1</f>
        <v>42306</v>
      </c>
      <c r="I29" s="3">
        <f>25676-584+1</f>
        <v>25093</v>
      </c>
      <c r="J29" s="3">
        <f t="shared" si="0"/>
        <v>17213</v>
      </c>
      <c r="K29" s="22" t="s">
        <v>213</v>
      </c>
      <c r="L29" s="22" t="s">
        <v>214</v>
      </c>
      <c r="M29" s="47" t="s">
        <v>210</v>
      </c>
    </row>
    <row r="30" spans="1:13" s="48" customFormat="1" ht="127.5" customHeight="1">
      <c r="A30" s="46">
        <v>26</v>
      </c>
      <c r="B30" s="16" t="s">
        <v>97</v>
      </c>
      <c r="C30" s="1" t="s">
        <v>288</v>
      </c>
      <c r="D30" s="1" t="s">
        <v>123</v>
      </c>
      <c r="E30" s="2">
        <f t="shared" si="1"/>
        <v>0.15127011007620661</v>
      </c>
      <c r="F30" s="3">
        <v>4057</v>
      </c>
      <c r="G30" s="3">
        <v>6662</v>
      </c>
      <c r="H30" s="3">
        <v>70860</v>
      </c>
      <c r="I30" s="3">
        <f>27815-381</f>
        <v>27434</v>
      </c>
      <c r="J30" s="3">
        <f t="shared" si="0"/>
        <v>43426</v>
      </c>
      <c r="K30" s="22" t="s">
        <v>215</v>
      </c>
      <c r="L30" s="22" t="s">
        <v>216</v>
      </c>
      <c r="M30" s="47" t="s">
        <v>210</v>
      </c>
    </row>
    <row r="31" spans="1:13" s="48" customFormat="1" ht="210.75" customHeight="1">
      <c r="A31" s="46">
        <v>27</v>
      </c>
      <c r="B31" s="16" t="s">
        <v>97</v>
      </c>
      <c r="C31" s="1" t="s">
        <v>4</v>
      </c>
      <c r="D31" s="1" t="s">
        <v>123</v>
      </c>
      <c r="E31" s="2">
        <f t="shared" si="1"/>
        <v>0.38663058369079434</v>
      </c>
      <c r="F31" s="3">
        <v>5629</v>
      </c>
      <c r="G31" s="3">
        <v>28802</v>
      </c>
      <c r="H31" s="3">
        <v>89054</v>
      </c>
      <c r="I31" s="3">
        <f>27360-316</f>
        <v>27044</v>
      </c>
      <c r="J31" s="3">
        <f t="shared" si="0"/>
        <v>62010</v>
      </c>
      <c r="K31" s="22" t="s">
        <v>107</v>
      </c>
      <c r="L31" s="22" t="s">
        <v>217</v>
      </c>
      <c r="M31" s="47" t="s">
        <v>210</v>
      </c>
    </row>
    <row r="32" spans="1:13" s="48" customFormat="1" ht="132.75" customHeight="1">
      <c r="A32" s="46">
        <v>28</v>
      </c>
      <c r="B32" s="16" t="s">
        <v>97</v>
      </c>
      <c r="C32" s="1" t="s">
        <v>5</v>
      </c>
      <c r="D32" s="1" t="s">
        <v>227</v>
      </c>
      <c r="E32" s="2">
        <f t="shared" si="1"/>
        <v>0.10412863136991128</v>
      </c>
      <c r="F32" s="3">
        <v>3251</v>
      </c>
      <c r="G32" s="3">
        <v>0</v>
      </c>
      <c r="H32" s="3">
        <v>31221</v>
      </c>
      <c r="I32" s="3">
        <v>19507</v>
      </c>
      <c r="J32" s="3">
        <f t="shared" si="0"/>
        <v>11714</v>
      </c>
      <c r="K32" s="22" t="s">
        <v>218</v>
      </c>
      <c r="L32" s="22" t="s">
        <v>110</v>
      </c>
      <c r="M32" s="47" t="s">
        <v>210</v>
      </c>
    </row>
    <row r="33" spans="1:13" s="48" customFormat="1" ht="131.25" customHeight="1">
      <c r="A33" s="46">
        <v>29</v>
      </c>
      <c r="B33" s="16" t="s">
        <v>97</v>
      </c>
      <c r="C33" s="12" t="s">
        <v>6</v>
      </c>
      <c r="D33" s="1" t="s">
        <v>219</v>
      </c>
      <c r="E33" s="2">
        <f t="shared" si="1"/>
        <v>0.30511103299847681</v>
      </c>
      <c r="F33" s="3">
        <v>91276</v>
      </c>
      <c r="G33" s="3">
        <v>7677</v>
      </c>
      <c r="H33" s="3">
        <v>324318</v>
      </c>
      <c r="I33" s="3">
        <v>118491</v>
      </c>
      <c r="J33" s="3">
        <f t="shared" si="0"/>
        <v>205827</v>
      </c>
      <c r="K33" s="22" t="s">
        <v>25</v>
      </c>
      <c r="L33" s="22" t="s">
        <v>39</v>
      </c>
      <c r="M33" s="47" t="s">
        <v>210</v>
      </c>
    </row>
    <row r="34" spans="1:13" s="48" customFormat="1" ht="104.25" customHeight="1">
      <c r="A34" s="46">
        <v>30</v>
      </c>
      <c r="B34" s="16" t="s">
        <v>93</v>
      </c>
      <c r="C34" s="12" t="s">
        <v>85</v>
      </c>
      <c r="D34" s="1" t="s">
        <v>111</v>
      </c>
      <c r="E34" s="56">
        <f t="shared" si="1"/>
        <v>1.2700204614407677E-3</v>
      </c>
      <c r="F34" s="3">
        <v>18</v>
      </c>
      <c r="G34" s="3">
        <v>0</v>
      </c>
      <c r="H34" s="3">
        <v>14173</v>
      </c>
      <c r="I34" s="3">
        <v>9040</v>
      </c>
      <c r="J34" s="3">
        <f t="shared" si="0"/>
        <v>5133</v>
      </c>
      <c r="K34" s="22" t="s">
        <v>19</v>
      </c>
      <c r="L34" s="22" t="s">
        <v>110</v>
      </c>
      <c r="M34" s="47" t="s">
        <v>210</v>
      </c>
    </row>
    <row r="35" spans="1:13" s="48" customFormat="1" ht="90" customHeight="1">
      <c r="A35" s="46">
        <v>31</v>
      </c>
      <c r="B35" s="16" t="s">
        <v>93</v>
      </c>
      <c r="C35" s="12" t="s">
        <v>72</v>
      </c>
      <c r="D35" s="1" t="s">
        <v>42</v>
      </c>
      <c r="E35" s="2" t="s">
        <v>109</v>
      </c>
      <c r="F35" s="3">
        <v>0</v>
      </c>
      <c r="G35" s="3">
        <v>0</v>
      </c>
      <c r="H35" s="3">
        <v>62488</v>
      </c>
      <c r="I35" s="3">
        <v>40413</v>
      </c>
      <c r="J35" s="3">
        <f t="shared" si="0"/>
        <v>22075</v>
      </c>
      <c r="K35" s="24" t="s">
        <v>18</v>
      </c>
      <c r="L35" s="24" t="s">
        <v>110</v>
      </c>
      <c r="M35" s="47" t="s">
        <v>210</v>
      </c>
    </row>
    <row r="36" spans="1:13" s="48" customFormat="1" ht="148.5" customHeight="1">
      <c r="A36" s="46">
        <v>32</v>
      </c>
      <c r="B36" s="16" t="s">
        <v>93</v>
      </c>
      <c r="C36" s="12" t="s">
        <v>84</v>
      </c>
      <c r="D36" s="1" t="s">
        <v>112</v>
      </c>
      <c r="E36" s="2">
        <f>(F36+G36)/H36</f>
        <v>0.87751176239952955</v>
      </c>
      <c r="F36" s="3">
        <v>153789</v>
      </c>
      <c r="G36" s="3">
        <v>61068</v>
      </c>
      <c r="H36" s="3">
        <v>244848</v>
      </c>
      <c r="I36" s="3">
        <f>61559+1</f>
        <v>61560</v>
      </c>
      <c r="J36" s="3">
        <f t="shared" si="0"/>
        <v>183288</v>
      </c>
      <c r="K36" s="22" t="s">
        <v>108</v>
      </c>
      <c r="L36" s="22" t="s">
        <v>44</v>
      </c>
      <c r="M36" s="47" t="s">
        <v>210</v>
      </c>
    </row>
    <row r="37" spans="1:13" s="48" customFormat="1" ht="143.25" customHeight="1">
      <c r="A37" s="46">
        <v>33</v>
      </c>
      <c r="B37" s="16" t="s">
        <v>93</v>
      </c>
      <c r="C37" s="12" t="s">
        <v>113</v>
      </c>
      <c r="D37" s="1" t="s">
        <v>114</v>
      </c>
      <c r="E37" s="2">
        <f>(F37+G37)/H37</f>
        <v>0.14266524436015962</v>
      </c>
      <c r="F37" s="57">
        <v>21666</v>
      </c>
      <c r="G37" s="57">
        <v>0</v>
      </c>
      <c r="H37" s="57">
        <v>151866</v>
      </c>
      <c r="I37" s="57">
        <v>92238</v>
      </c>
      <c r="J37" s="57">
        <f t="shared" si="0"/>
        <v>59628</v>
      </c>
      <c r="K37" s="22" t="s">
        <v>20</v>
      </c>
      <c r="L37" s="22" t="s">
        <v>110</v>
      </c>
      <c r="M37" s="47" t="s">
        <v>210</v>
      </c>
    </row>
    <row r="38" spans="1:13" s="48" customFormat="1" ht="225.75" customHeight="1">
      <c r="A38" s="46">
        <v>34</v>
      </c>
      <c r="B38" s="16" t="s">
        <v>93</v>
      </c>
      <c r="C38" s="12" t="s">
        <v>289</v>
      </c>
      <c r="D38" s="1" t="s">
        <v>115</v>
      </c>
      <c r="E38" s="2">
        <f>(F38+G38)/H38</f>
        <v>0.17120808757150868</v>
      </c>
      <c r="F38" s="3">
        <v>21788</v>
      </c>
      <c r="G38" s="3">
        <v>82331</v>
      </c>
      <c r="H38" s="49">
        <f>744646-24565-79631-32110-197</f>
        <v>608143</v>
      </c>
      <c r="I38" s="3">
        <f>364154-32110-79631</f>
        <v>252413</v>
      </c>
      <c r="J38" s="3">
        <f t="shared" si="0"/>
        <v>355730</v>
      </c>
      <c r="K38" s="22" t="s">
        <v>21</v>
      </c>
      <c r="L38" s="22" t="s">
        <v>187</v>
      </c>
      <c r="M38" s="47" t="s">
        <v>210</v>
      </c>
    </row>
    <row r="39" spans="1:13" s="48" customFormat="1" ht="94.5" customHeight="1">
      <c r="A39" s="46">
        <v>35</v>
      </c>
      <c r="B39" s="16" t="s">
        <v>93</v>
      </c>
      <c r="C39" s="1" t="s">
        <v>78</v>
      </c>
      <c r="D39" s="1" t="s">
        <v>199</v>
      </c>
      <c r="E39" s="2">
        <f>(F39+G39)/H39</f>
        <v>0.17307255635114066</v>
      </c>
      <c r="F39" s="3">
        <v>5192</v>
      </c>
      <c r="G39" s="3">
        <v>6241</v>
      </c>
      <c r="H39" s="3">
        <v>66059</v>
      </c>
      <c r="I39" s="3">
        <v>6011</v>
      </c>
      <c r="J39" s="3">
        <f t="shared" si="0"/>
        <v>60048</v>
      </c>
      <c r="K39" s="22" t="s">
        <v>220</v>
      </c>
      <c r="L39" s="22" t="s">
        <v>221</v>
      </c>
      <c r="M39" s="47" t="s">
        <v>210</v>
      </c>
    </row>
    <row r="40" spans="1:13" s="48" customFormat="1" ht="86.25" customHeight="1">
      <c r="A40" s="46">
        <v>36</v>
      </c>
      <c r="B40" s="16" t="s">
        <v>93</v>
      </c>
      <c r="C40" s="12" t="s">
        <v>290</v>
      </c>
      <c r="D40" s="1" t="s">
        <v>71</v>
      </c>
      <c r="E40" s="2" t="s">
        <v>109</v>
      </c>
      <c r="F40" s="3">
        <v>0</v>
      </c>
      <c r="G40" s="3">
        <v>0</v>
      </c>
      <c r="H40" s="3">
        <v>12964</v>
      </c>
      <c r="I40" s="3">
        <f>6688+1</f>
        <v>6689</v>
      </c>
      <c r="J40" s="3">
        <f t="shared" si="0"/>
        <v>6275</v>
      </c>
      <c r="K40" s="24" t="s">
        <v>18</v>
      </c>
      <c r="L40" s="24" t="s">
        <v>110</v>
      </c>
      <c r="M40" s="47" t="s">
        <v>210</v>
      </c>
    </row>
    <row r="41" spans="1:13" s="48" customFormat="1" ht="109.5" customHeight="1">
      <c r="A41" s="46">
        <v>37</v>
      </c>
      <c r="B41" s="16" t="s">
        <v>93</v>
      </c>
      <c r="C41" s="1" t="s">
        <v>291</v>
      </c>
      <c r="D41" s="1" t="s">
        <v>200</v>
      </c>
      <c r="E41" s="2">
        <f t="shared" ref="E41:E48" si="2">(F41+G41)/H41</f>
        <v>0.62226951465155844</v>
      </c>
      <c r="F41" s="3">
        <v>87366</v>
      </c>
      <c r="G41" s="3">
        <v>61</v>
      </c>
      <c r="H41" s="3">
        <v>140497</v>
      </c>
      <c r="I41" s="3">
        <v>16056</v>
      </c>
      <c r="J41" s="3">
        <f t="shared" si="0"/>
        <v>124441</v>
      </c>
      <c r="K41" s="22" t="s">
        <v>222</v>
      </c>
      <c r="L41" s="22" t="s">
        <v>223</v>
      </c>
      <c r="M41" s="47" t="s">
        <v>210</v>
      </c>
    </row>
    <row r="42" spans="1:13" s="48" customFormat="1" ht="92.25" customHeight="1">
      <c r="A42" s="46">
        <v>38</v>
      </c>
      <c r="B42" s="16" t="s">
        <v>93</v>
      </c>
      <c r="C42" s="12" t="s">
        <v>74</v>
      </c>
      <c r="D42" s="12" t="s">
        <v>116</v>
      </c>
      <c r="E42" s="2">
        <f t="shared" si="2"/>
        <v>0.47359009442269395</v>
      </c>
      <c r="F42" s="3">
        <v>139836</v>
      </c>
      <c r="G42" s="3">
        <v>0</v>
      </c>
      <c r="H42" s="3">
        <v>295268</v>
      </c>
      <c r="I42" s="3">
        <v>35426</v>
      </c>
      <c r="J42" s="3">
        <f t="shared" si="0"/>
        <v>259842</v>
      </c>
      <c r="K42" s="18" t="s">
        <v>67</v>
      </c>
      <c r="L42" s="18" t="s">
        <v>110</v>
      </c>
      <c r="M42" s="47" t="s">
        <v>210</v>
      </c>
    </row>
    <row r="43" spans="1:13" s="48" customFormat="1" ht="67.5" customHeight="1">
      <c r="A43" s="46">
        <v>39</v>
      </c>
      <c r="B43" s="16" t="s">
        <v>93</v>
      </c>
      <c r="C43" s="12" t="s">
        <v>83</v>
      </c>
      <c r="D43" s="12" t="s">
        <v>143</v>
      </c>
      <c r="E43" s="2">
        <f t="shared" si="2"/>
        <v>0.67932975752471303</v>
      </c>
      <c r="F43" s="3">
        <v>30650</v>
      </c>
      <c r="G43" s="3">
        <v>0</v>
      </c>
      <c r="H43" s="3">
        <v>45118</v>
      </c>
      <c r="I43" s="3">
        <v>8857</v>
      </c>
      <c r="J43" s="3">
        <f t="shared" si="0"/>
        <v>36261</v>
      </c>
      <c r="K43" s="22" t="s">
        <v>61</v>
      </c>
      <c r="L43" s="22" t="s">
        <v>110</v>
      </c>
      <c r="M43" s="47" t="s">
        <v>210</v>
      </c>
    </row>
    <row r="44" spans="1:13" s="48" customFormat="1" ht="107.25" customHeight="1">
      <c r="A44" s="46">
        <v>40</v>
      </c>
      <c r="B44" s="16" t="s">
        <v>93</v>
      </c>
      <c r="C44" s="1" t="s">
        <v>292</v>
      </c>
      <c r="D44" s="1" t="s">
        <v>139</v>
      </c>
      <c r="E44" s="2">
        <f t="shared" si="2"/>
        <v>0.81751455327765121</v>
      </c>
      <c r="F44" s="3">
        <v>22610</v>
      </c>
      <c r="G44" s="3">
        <v>0</v>
      </c>
      <c r="H44" s="3">
        <v>27657</v>
      </c>
      <c r="I44" s="3">
        <v>0</v>
      </c>
      <c r="J44" s="3">
        <f t="shared" si="0"/>
        <v>27657</v>
      </c>
      <c r="K44" s="22" t="s">
        <v>140</v>
      </c>
      <c r="L44" s="22" t="s">
        <v>110</v>
      </c>
      <c r="M44" s="47" t="s">
        <v>210</v>
      </c>
    </row>
    <row r="45" spans="1:13" s="48" customFormat="1" ht="105.75" customHeight="1">
      <c r="A45" s="46">
        <v>41</v>
      </c>
      <c r="B45" s="16" t="s">
        <v>93</v>
      </c>
      <c r="C45" s="1" t="s">
        <v>54</v>
      </c>
      <c r="D45" s="1" t="s">
        <v>139</v>
      </c>
      <c r="E45" s="2">
        <f t="shared" si="2"/>
        <v>0.62847736625514405</v>
      </c>
      <c r="F45" s="3">
        <v>7636</v>
      </c>
      <c r="G45" s="3">
        <v>0</v>
      </c>
      <c r="H45" s="3">
        <v>12150</v>
      </c>
      <c r="I45" s="3">
        <f>10341</f>
        <v>10341</v>
      </c>
      <c r="J45" s="3">
        <f t="shared" si="0"/>
        <v>1809</v>
      </c>
      <c r="K45" s="22" t="s">
        <v>141</v>
      </c>
      <c r="L45" s="22" t="s">
        <v>110</v>
      </c>
      <c r="M45" s="47" t="s">
        <v>210</v>
      </c>
    </row>
    <row r="46" spans="1:13" s="48" customFormat="1" ht="92.25" customHeight="1">
      <c r="A46" s="46">
        <v>42</v>
      </c>
      <c r="B46" s="16" t="s">
        <v>93</v>
      </c>
      <c r="C46" s="12" t="s">
        <v>144</v>
      </c>
      <c r="D46" s="12" t="s">
        <v>145</v>
      </c>
      <c r="E46" s="2">
        <f t="shared" si="2"/>
        <v>0.88686913064967876</v>
      </c>
      <c r="F46" s="3">
        <v>31940</v>
      </c>
      <c r="G46" s="3">
        <v>358</v>
      </c>
      <c r="H46" s="3">
        <v>36418</v>
      </c>
      <c r="I46" s="3">
        <v>8857</v>
      </c>
      <c r="J46" s="3">
        <f t="shared" si="0"/>
        <v>27561</v>
      </c>
      <c r="K46" s="22" t="s">
        <v>35</v>
      </c>
      <c r="L46" s="22" t="s">
        <v>45</v>
      </c>
      <c r="M46" s="47" t="s">
        <v>210</v>
      </c>
    </row>
    <row r="47" spans="1:13" s="50" customFormat="1" ht="182.25" customHeight="1">
      <c r="A47" s="46">
        <v>43</v>
      </c>
      <c r="B47" s="16" t="s">
        <v>98</v>
      </c>
      <c r="C47" s="12" t="s">
        <v>7</v>
      </c>
      <c r="D47" s="1" t="s">
        <v>127</v>
      </c>
      <c r="E47" s="2">
        <f t="shared" si="2"/>
        <v>0.40422922401307521</v>
      </c>
      <c r="F47" s="3">
        <v>364595</v>
      </c>
      <c r="G47" s="3">
        <v>87269</v>
      </c>
      <c r="H47" s="3">
        <f>1112234+5607</f>
        <v>1117841</v>
      </c>
      <c r="I47" s="3">
        <v>434525</v>
      </c>
      <c r="J47" s="3">
        <f t="shared" si="0"/>
        <v>683316</v>
      </c>
      <c r="K47" s="24" t="s">
        <v>28</v>
      </c>
      <c r="L47" s="22" t="s">
        <v>128</v>
      </c>
      <c r="M47" s="47" t="s">
        <v>210</v>
      </c>
    </row>
    <row r="48" spans="1:13" s="50" customFormat="1" ht="180" customHeight="1">
      <c r="A48" s="46">
        <v>44</v>
      </c>
      <c r="B48" s="16" t="s">
        <v>98</v>
      </c>
      <c r="C48" s="12" t="s">
        <v>8</v>
      </c>
      <c r="D48" s="1" t="s">
        <v>89</v>
      </c>
      <c r="E48" s="2">
        <f t="shared" si="2"/>
        <v>0.1359273306175961</v>
      </c>
      <c r="F48" s="3">
        <v>67389</v>
      </c>
      <c r="G48" s="3">
        <v>25507</v>
      </c>
      <c r="H48" s="3">
        <v>683424</v>
      </c>
      <c r="I48" s="3">
        <v>279512</v>
      </c>
      <c r="J48" s="3">
        <f t="shared" si="0"/>
        <v>403912</v>
      </c>
      <c r="K48" s="58" t="s">
        <v>29</v>
      </c>
      <c r="L48" s="22" t="s">
        <v>128</v>
      </c>
      <c r="M48" s="47" t="s">
        <v>210</v>
      </c>
    </row>
    <row r="49" spans="1:13" s="50" customFormat="1" ht="127.5" customHeight="1">
      <c r="A49" s="46">
        <v>45</v>
      </c>
      <c r="B49" s="16" t="s">
        <v>98</v>
      </c>
      <c r="C49" s="12" t="s">
        <v>9</v>
      </c>
      <c r="D49" s="1" t="s">
        <v>89</v>
      </c>
      <c r="E49" s="2" t="s">
        <v>109</v>
      </c>
      <c r="F49" s="3">
        <v>520</v>
      </c>
      <c r="G49" s="3">
        <v>0</v>
      </c>
      <c r="H49" s="3">
        <v>388098</v>
      </c>
      <c r="I49" s="3">
        <v>218917</v>
      </c>
      <c r="J49" s="3">
        <f t="shared" si="0"/>
        <v>169181</v>
      </c>
      <c r="K49" s="24" t="s">
        <v>18</v>
      </c>
      <c r="L49" s="24" t="s">
        <v>110</v>
      </c>
      <c r="M49" s="47" t="s">
        <v>210</v>
      </c>
    </row>
    <row r="50" spans="1:13" s="48" customFormat="1" ht="136.5" customHeight="1">
      <c r="A50" s="46">
        <v>46</v>
      </c>
      <c r="B50" s="16" t="s">
        <v>98</v>
      </c>
      <c r="C50" s="12" t="s">
        <v>206</v>
      </c>
      <c r="D50" s="1" t="s">
        <v>124</v>
      </c>
      <c r="E50" s="2">
        <f t="shared" ref="E50:E58" si="3">(F50+G50)/H50</f>
        <v>0.36096938775510207</v>
      </c>
      <c r="F50" s="3">
        <v>752</v>
      </c>
      <c r="G50" s="3">
        <v>380</v>
      </c>
      <c r="H50" s="3">
        <v>3136</v>
      </c>
      <c r="I50" s="3">
        <v>2318</v>
      </c>
      <c r="J50" s="3">
        <f t="shared" si="0"/>
        <v>818</v>
      </c>
      <c r="K50" s="17" t="s">
        <v>26</v>
      </c>
      <c r="L50" s="18" t="s">
        <v>53</v>
      </c>
      <c r="M50" s="47" t="s">
        <v>210</v>
      </c>
    </row>
    <row r="51" spans="1:13" s="48" customFormat="1" ht="125.25" customHeight="1">
      <c r="A51" s="46">
        <v>47</v>
      </c>
      <c r="B51" s="16" t="s">
        <v>98</v>
      </c>
      <c r="C51" s="12" t="s">
        <v>207</v>
      </c>
      <c r="D51" s="1" t="s">
        <v>124</v>
      </c>
      <c r="E51" s="2">
        <f t="shared" si="3"/>
        <v>0.22605063951970764</v>
      </c>
      <c r="F51" s="3">
        <v>683</v>
      </c>
      <c r="G51" s="3">
        <v>183</v>
      </c>
      <c r="H51" s="3">
        <v>3831</v>
      </c>
      <c r="I51" s="3">
        <f>1069+470</f>
        <v>1539</v>
      </c>
      <c r="J51" s="3">
        <f t="shared" si="0"/>
        <v>2292</v>
      </c>
      <c r="K51" s="17" t="s">
        <v>26</v>
      </c>
      <c r="L51" s="18" t="s">
        <v>209</v>
      </c>
      <c r="M51" s="47" t="s">
        <v>210</v>
      </c>
    </row>
    <row r="52" spans="1:13" s="48" customFormat="1" ht="81.75" customHeight="1">
      <c r="A52" s="46">
        <v>48</v>
      </c>
      <c r="B52" s="16" t="s">
        <v>98</v>
      </c>
      <c r="C52" s="12" t="s">
        <v>235</v>
      </c>
      <c r="D52" s="1" t="s">
        <v>124</v>
      </c>
      <c r="E52" s="2">
        <f>(F52+G52)/H52</f>
        <v>0.52751604533661067</v>
      </c>
      <c r="F52" s="3">
        <v>3863</v>
      </c>
      <c r="G52" s="3">
        <v>0</v>
      </c>
      <c r="H52" s="3">
        <v>7323</v>
      </c>
      <c r="I52" s="3">
        <v>4890</v>
      </c>
      <c r="J52" s="3">
        <f>H52-I52</f>
        <v>2433</v>
      </c>
      <c r="K52" s="22" t="s">
        <v>205</v>
      </c>
      <c r="L52" s="18" t="s">
        <v>110</v>
      </c>
      <c r="M52" s="47" t="s">
        <v>210</v>
      </c>
    </row>
    <row r="53" spans="1:13" s="48" customFormat="1" ht="132.75" customHeight="1">
      <c r="A53" s="46">
        <v>49</v>
      </c>
      <c r="B53" s="16" t="s">
        <v>98</v>
      </c>
      <c r="C53" s="12" t="s">
        <v>234</v>
      </c>
      <c r="D53" s="12" t="s">
        <v>124</v>
      </c>
      <c r="E53" s="2">
        <f t="shared" si="3"/>
        <v>1.1492597850334618</v>
      </c>
      <c r="F53" s="3">
        <v>10487</v>
      </c>
      <c r="G53" s="3">
        <v>847</v>
      </c>
      <c r="H53" s="3">
        <v>9862</v>
      </c>
      <c r="I53" s="3">
        <f>4774+142</f>
        <v>4916</v>
      </c>
      <c r="J53" s="3">
        <f t="shared" si="0"/>
        <v>4946</v>
      </c>
      <c r="K53" s="24" t="s">
        <v>27</v>
      </c>
      <c r="L53" s="22" t="s">
        <v>53</v>
      </c>
      <c r="M53" s="47" t="s">
        <v>210</v>
      </c>
    </row>
    <row r="54" spans="1:13" s="48" customFormat="1" ht="90" customHeight="1">
      <c r="A54" s="46">
        <v>50</v>
      </c>
      <c r="B54" s="16" t="s">
        <v>98</v>
      </c>
      <c r="C54" s="12" t="s">
        <v>69</v>
      </c>
      <c r="D54" s="12" t="s">
        <v>236</v>
      </c>
      <c r="E54" s="2">
        <f t="shared" si="3"/>
        <v>0.1797432239657632</v>
      </c>
      <c r="F54" s="3">
        <v>1763</v>
      </c>
      <c r="G54" s="3">
        <v>1</v>
      </c>
      <c r="H54" s="3">
        <v>9814</v>
      </c>
      <c r="I54" s="3">
        <v>4941</v>
      </c>
      <c r="J54" s="3">
        <f t="shared" si="0"/>
        <v>4873</v>
      </c>
      <c r="K54" s="22" t="s">
        <v>70</v>
      </c>
      <c r="L54" s="24" t="s">
        <v>208</v>
      </c>
      <c r="M54" s="47" t="s">
        <v>210</v>
      </c>
    </row>
    <row r="55" spans="1:13" s="48" customFormat="1" ht="84.75" customHeight="1">
      <c r="A55" s="46">
        <v>51</v>
      </c>
      <c r="B55" s="16" t="s">
        <v>99</v>
      </c>
      <c r="C55" s="1" t="s">
        <v>13</v>
      </c>
      <c r="D55" s="1" t="s">
        <v>87</v>
      </c>
      <c r="E55" s="2">
        <f t="shared" si="3"/>
        <v>0.55794407168397508</v>
      </c>
      <c r="F55" s="3">
        <v>77932</v>
      </c>
      <c r="G55" s="3">
        <v>400</v>
      </c>
      <c r="H55" s="3">
        <v>140394</v>
      </c>
      <c r="I55" s="3">
        <v>48814</v>
      </c>
      <c r="J55" s="3">
        <f t="shared" si="0"/>
        <v>91580</v>
      </c>
      <c r="K55" s="22" t="s">
        <v>66</v>
      </c>
      <c r="L55" s="22" t="s">
        <v>91</v>
      </c>
      <c r="M55" s="47" t="s">
        <v>210</v>
      </c>
    </row>
    <row r="56" spans="1:13" s="48" customFormat="1" ht="96.75" customHeight="1">
      <c r="A56" s="46">
        <v>52</v>
      </c>
      <c r="B56" s="16" t="s">
        <v>99</v>
      </c>
      <c r="C56" s="1" t="s">
        <v>12</v>
      </c>
      <c r="D56" s="1" t="s">
        <v>88</v>
      </c>
      <c r="E56" s="2">
        <f t="shared" si="3"/>
        <v>0.58523119392684608</v>
      </c>
      <c r="F56" s="3">
        <v>819</v>
      </c>
      <c r="G56" s="3">
        <v>29</v>
      </c>
      <c r="H56" s="3">
        <v>1449</v>
      </c>
      <c r="I56" s="3">
        <f>176+455</f>
        <v>631</v>
      </c>
      <c r="J56" s="3">
        <f t="shared" si="0"/>
        <v>818</v>
      </c>
      <c r="K56" s="17" t="s">
        <v>31</v>
      </c>
      <c r="L56" s="18" t="s">
        <v>186</v>
      </c>
      <c r="M56" s="47" t="s">
        <v>210</v>
      </c>
    </row>
    <row r="57" spans="1:13" s="48" customFormat="1" ht="100.5" customHeight="1">
      <c r="A57" s="46">
        <v>53</v>
      </c>
      <c r="B57" s="16" t="s">
        <v>99</v>
      </c>
      <c r="C57" s="1" t="s">
        <v>11</v>
      </c>
      <c r="D57" s="1" t="s">
        <v>88</v>
      </c>
      <c r="E57" s="2">
        <f t="shared" si="3"/>
        <v>0.8878939828080229</v>
      </c>
      <c r="F57" s="3">
        <v>4958</v>
      </c>
      <c r="G57" s="3">
        <v>0</v>
      </c>
      <c r="H57" s="3">
        <v>5584</v>
      </c>
      <c r="I57" s="3">
        <f>1406+3639</f>
        <v>5045</v>
      </c>
      <c r="J57" s="3">
        <f t="shared" si="0"/>
        <v>539</v>
      </c>
      <c r="K57" s="24" t="s">
        <v>30</v>
      </c>
      <c r="L57" s="24" t="s">
        <v>110</v>
      </c>
      <c r="M57" s="47" t="s">
        <v>210</v>
      </c>
    </row>
    <row r="58" spans="1:13" s="48" customFormat="1" ht="86.25" customHeight="1">
      <c r="A58" s="46">
        <v>54</v>
      </c>
      <c r="B58" s="16" t="s">
        <v>99</v>
      </c>
      <c r="C58" s="1" t="s">
        <v>185</v>
      </c>
      <c r="D58" s="1" t="s">
        <v>142</v>
      </c>
      <c r="E58" s="2">
        <f t="shared" si="3"/>
        <v>1.0568072380759288</v>
      </c>
      <c r="F58" s="3">
        <v>166798</v>
      </c>
      <c r="G58" s="3">
        <v>0</v>
      </c>
      <c r="H58" s="3">
        <v>157832</v>
      </c>
      <c r="I58" s="3">
        <v>82621</v>
      </c>
      <c r="J58" s="3">
        <f t="shared" si="0"/>
        <v>75211</v>
      </c>
      <c r="K58" s="24" t="s">
        <v>32</v>
      </c>
      <c r="L58" s="24" t="s">
        <v>110</v>
      </c>
      <c r="M58" s="47" t="s">
        <v>210</v>
      </c>
    </row>
    <row r="59" spans="1:13" s="48" customFormat="1" ht="85.5" customHeight="1">
      <c r="A59" s="46">
        <v>55</v>
      </c>
      <c r="B59" s="16" t="s">
        <v>92</v>
      </c>
      <c r="C59" s="12" t="s">
        <v>0</v>
      </c>
      <c r="D59" s="1" t="s">
        <v>37</v>
      </c>
      <c r="E59" s="2" t="s">
        <v>109</v>
      </c>
      <c r="F59" s="3">
        <v>0</v>
      </c>
      <c r="G59" s="3">
        <v>0</v>
      </c>
      <c r="H59" s="3">
        <v>37882</v>
      </c>
      <c r="I59" s="3">
        <f>20880+3518</f>
        <v>24398</v>
      </c>
      <c r="J59" s="3">
        <f t="shared" si="0"/>
        <v>13484</v>
      </c>
      <c r="K59" s="17" t="s">
        <v>18</v>
      </c>
      <c r="L59" s="17" t="s">
        <v>110</v>
      </c>
      <c r="M59" s="47" t="s">
        <v>210</v>
      </c>
    </row>
    <row r="60" spans="1:13" s="48" customFormat="1" ht="107.25" customHeight="1">
      <c r="A60" s="46">
        <v>56</v>
      </c>
      <c r="B60" s="16" t="s">
        <v>95</v>
      </c>
      <c r="C60" s="1" t="s">
        <v>293</v>
      </c>
      <c r="D60" s="12" t="s">
        <v>120</v>
      </c>
      <c r="E60" s="2">
        <f>(F60+G60)/H60</f>
        <v>0.21730793022392675</v>
      </c>
      <c r="F60" s="3">
        <v>3513</v>
      </c>
      <c r="G60" s="57">
        <v>0</v>
      </c>
      <c r="H60" s="3">
        <f>15119+1047</f>
        <v>16166</v>
      </c>
      <c r="I60" s="3">
        <v>11352</v>
      </c>
      <c r="J60" s="3">
        <f t="shared" si="0"/>
        <v>4814</v>
      </c>
      <c r="K60" s="22" t="s">
        <v>62</v>
      </c>
      <c r="L60" s="22" t="s">
        <v>110</v>
      </c>
      <c r="M60" s="47" t="s">
        <v>210</v>
      </c>
    </row>
    <row r="61" spans="1:13" s="48" customFormat="1" ht="125.25" customHeight="1">
      <c r="A61" s="46">
        <v>57</v>
      </c>
      <c r="B61" s="16" t="s">
        <v>96</v>
      </c>
      <c r="C61" s="1" t="s">
        <v>1</v>
      </c>
      <c r="D61" s="1" t="s">
        <v>121</v>
      </c>
      <c r="E61" s="2">
        <f>(F61+G61)/H61</f>
        <v>0.37452422983908001</v>
      </c>
      <c r="F61" s="3">
        <v>36703</v>
      </c>
      <c r="G61" s="3">
        <v>0</v>
      </c>
      <c r="H61" s="3">
        <v>97999</v>
      </c>
      <c r="I61" s="3">
        <v>30723</v>
      </c>
      <c r="J61" s="3">
        <f t="shared" si="0"/>
        <v>67276</v>
      </c>
      <c r="K61" s="22" t="s">
        <v>224</v>
      </c>
      <c r="L61" s="22" t="s">
        <v>110</v>
      </c>
      <c r="M61" s="47" t="s">
        <v>210</v>
      </c>
    </row>
    <row r="62" spans="1:13" s="48" customFormat="1" ht="123" customHeight="1">
      <c r="A62" s="46">
        <v>58</v>
      </c>
      <c r="B62" s="16" t="s">
        <v>96</v>
      </c>
      <c r="C62" s="1" t="s">
        <v>2</v>
      </c>
      <c r="D62" s="1" t="s">
        <v>121</v>
      </c>
      <c r="E62" s="2">
        <f>(F62+G62)/H62</f>
        <v>0.31457604895104896</v>
      </c>
      <c r="F62" s="3">
        <v>31669</v>
      </c>
      <c r="G62" s="3">
        <v>0</v>
      </c>
      <c r="H62" s="3">
        <v>100672</v>
      </c>
      <c r="I62" s="3">
        <v>36601</v>
      </c>
      <c r="J62" s="3">
        <f t="shared" si="0"/>
        <v>64071</v>
      </c>
      <c r="K62" s="22" t="s">
        <v>225</v>
      </c>
      <c r="L62" s="22" t="s">
        <v>110</v>
      </c>
      <c r="M62" s="47" t="s">
        <v>210</v>
      </c>
    </row>
    <row r="63" spans="1:13" s="48" customFormat="1" ht="97.5" customHeight="1">
      <c r="A63" s="46">
        <v>59</v>
      </c>
      <c r="B63" s="16" t="s">
        <v>96</v>
      </c>
      <c r="C63" s="12" t="s">
        <v>294</v>
      </c>
      <c r="D63" s="1" t="s">
        <v>230</v>
      </c>
      <c r="E63" s="2" t="s">
        <v>109</v>
      </c>
      <c r="F63" s="3">
        <v>0</v>
      </c>
      <c r="G63" s="3">
        <v>0</v>
      </c>
      <c r="H63" s="3">
        <v>8559</v>
      </c>
      <c r="I63" s="3">
        <v>5374</v>
      </c>
      <c r="J63" s="3">
        <f t="shared" si="0"/>
        <v>3185</v>
      </c>
      <c r="K63" s="22" t="s">
        <v>18</v>
      </c>
      <c r="L63" s="22" t="s">
        <v>110</v>
      </c>
      <c r="M63" s="47" t="s">
        <v>210</v>
      </c>
    </row>
    <row r="64" spans="1:13" s="48" customFormat="1" ht="108.75" customHeight="1">
      <c r="A64" s="46">
        <v>60</v>
      </c>
      <c r="B64" s="16" t="s">
        <v>96</v>
      </c>
      <c r="C64" s="12" t="s">
        <v>10</v>
      </c>
      <c r="D64" s="12" t="s">
        <v>146</v>
      </c>
      <c r="E64" s="2">
        <f>(F64+G64)/H64</f>
        <v>0.32845404643656739</v>
      </c>
      <c r="F64" s="3">
        <v>28901</v>
      </c>
      <c r="G64" s="3">
        <v>0</v>
      </c>
      <c r="H64" s="3">
        <v>87991</v>
      </c>
      <c r="I64" s="3">
        <v>35301</v>
      </c>
      <c r="J64" s="3">
        <f t="shared" si="0"/>
        <v>52690</v>
      </c>
      <c r="K64" s="22" t="s">
        <v>226</v>
      </c>
      <c r="L64" s="22" t="s">
        <v>110</v>
      </c>
      <c r="M64" s="47" t="s">
        <v>210</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view="pageBreakPreview" zoomScale="60" zoomScaleNormal="70" workbookViewId="0">
      <selection activeCell="B17" sqref="B17"/>
    </sheetView>
  </sheetViews>
  <sheetFormatPr defaultRowHeight="14.25"/>
  <cols>
    <col min="1" max="1" width="4.875" customWidth="1"/>
    <col min="2" max="2" width="17.5" style="7" customWidth="1"/>
    <col min="3" max="3" width="25.375" style="6" customWidth="1"/>
    <col min="4" max="4" width="34" style="6" customWidth="1"/>
    <col min="5" max="5" width="14.125" style="8" customWidth="1"/>
    <col min="6" max="7" width="12.5" style="8" customWidth="1"/>
    <col min="8" max="10" width="12.5" style="10" customWidth="1"/>
    <col min="11" max="11" width="43.5" style="11" customWidth="1"/>
    <col min="12" max="12" width="46.125" style="11" customWidth="1"/>
    <col min="13" max="14" width="17.875" customWidth="1"/>
  </cols>
  <sheetData>
    <row r="1" spans="1:14" ht="18.75">
      <c r="A1" s="15" t="s">
        <v>151</v>
      </c>
    </row>
    <row r="2" spans="1:14" ht="18.75">
      <c r="B2" s="15"/>
      <c r="C2" s="15"/>
      <c r="D2" s="15"/>
      <c r="E2" s="15"/>
      <c r="F2" s="15"/>
      <c r="G2" s="15"/>
      <c r="H2" s="15"/>
      <c r="I2" s="13"/>
      <c r="J2" s="13"/>
      <c r="K2" s="14"/>
      <c r="L2" s="14"/>
    </row>
    <row r="3" spans="1:14" ht="42.75" customHeight="1">
      <c r="A3" s="150"/>
      <c r="B3" s="151" t="s">
        <v>152</v>
      </c>
      <c r="C3" s="151" t="s">
        <v>153</v>
      </c>
      <c r="D3" s="152" t="s">
        <v>36</v>
      </c>
      <c r="E3" s="148" t="s">
        <v>252</v>
      </c>
      <c r="F3" s="143" t="s">
        <v>154</v>
      </c>
      <c r="G3" s="143" t="s">
        <v>155</v>
      </c>
      <c r="H3" s="138" t="s">
        <v>156</v>
      </c>
      <c r="I3" s="32" t="s">
        <v>16</v>
      </c>
      <c r="J3" s="32"/>
      <c r="K3" s="143" t="s">
        <v>157</v>
      </c>
      <c r="L3" s="159" t="s">
        <v>158</v>
      </c>
      <c r="M3" s="153" t="s">
        <v>399</v>
      </c>
      <c r="N3" s="154"/>
    </row>
    <row r="4" spans="1:14" ht="66.75" customHeight="1">
      <c r="A4" s="144"/>
      <c r="B4" s="145"/>
      <c r="C4" s="145"/>
      <c r="D4" s="147"/>
      <c r="E4" s="149"/>
      <c r="F4" s="140"/>
      <c r="G4" s="140"/>
      <c r="H4" s="139"/>
      <c r="I4" s="31" t="s">
        <v>159</v>
      </c>
      <c r="J4" s="31" t="s">
        <v>160</v>
      </c>
      <c r="K4" s="140"/>
      <c r="L4" s="160"/>
      <c r="M4" s="155"/>
      <c r="N4" s="156"/>
    </row>
    <row r="5" spans="1:14" ht="48.75" customHeight="1">
      <c r="A5" s="16">
        <v>1</v>
      </c>
      <c r="B5" s="16" t="s">
        <v>161</v>
      </c>
      <c r="C5" s="33" t="s">
        <v>162</v>
      </c>
      <c r="D5" s="34" t="s">
        <v>163</v>
      </c>
      <c r="E5" s="35" t="s">
        <v>164</v>
      </c>
      <c r="F5" s="36" t="s">
        <v>165</v>
      </c>
      <c r="G5" s="36" t="s">
        <v>166</v>
      </c>
      <c r="H5" s="37" t="s">
        <v>167</v>
      </c>
      <c r="I5" s="38" t="s">
        <v>167</v>
      </c>
      <c r="J5" s="38" t="s">
        <v>167</v>
      </c>
      <c r="K5" s="39" t="s">
        <v>168</v>
      </c>
      <c r="L5" s="87" t="s">
        <v>169</v>
      </c>
      <c r="M5" s="157" t="s">
        <v>165</v>
      </c>
      <c r="N5" s="158"/>
    </row>
    <row r="6" spans="1:14" s="10" customFormat="1" ht="30.75" customHeight="1">
      <c r="B6" s="5"/>
      <c r="C6" s="6"/>
      <c r="D6" s="6"/>
      <c r="E6" s="8"/>
      <c r="F6" s="9"/>
      <c r="G6" s="9"/>
      <c r="K6" s="11"/>
      <c r="L6" s="11"/>
    </row>
    <row r="7" spans="1:14" s="40" customFormat="1" ht="26.25" customHeight="1">
      <c r="B7" s="41" t="s">
        <v>170</v>
      </c>
      <c r="C7" s="42"/>
      <c r="D7" s="42"/>
      <c r="E7" s="43"/>
      <c r="F7" s="44"/>
      <c r="G7" s="44"/>
      <c r="K7" s="11"/>
      <c r="L7" s="11"/>
    </row>
    <row r="8" spans="1:14" s="40" customFormat="1" ht="26.25" customHeight="1">
      <c r="B8" s="45" t="s">
        <v>171</v>
      </c>
      <c r="C8" s="42"/>
      <c r="D8" s="42"/>
      <c r="E8" s="43"/>
      <c r="F8" s="43"/>
      <c r="G8" s="43"/>
      <c r="K8" s="11"/>
      <c r="L8" s="11"/>
    </row>
    <row r="9" spans="1:14" s="40" customFormat="1" ht="26.25" customHeight="1">
      <c r="B9" s="45"/>
      <c r="C9" s="42"/>
      <c r="D9" s="42"/>
      <c r="E9" s="43"/>
      <c r="F9" s="43"/>
      <c r="G9" s="43"/>
      <c r="K9" s="11"/>
      <c r="L9" s="11"/>
    </row>
    <row r="10" spans="1:14" s="40" customFormat="1" ht="26.25" customHeight="1">
      <c r="B10" s="45" t="s">
        <v>172</v>
      </c>
      <c r="C10" s="42"/>
      <c r="D10" s="42"/>
      <c r="E10" s="43"/>
      <c r="F10" s="43"/>
      <c r="G10" s="43"/>
      <c r="K10" s="11"/>
      <c r="L10" s="11"/>
    </row>
    <row r="11" spans="1:14" s="40" customFormat="1" ht="26.25" customHeight="1">
      <c r="B11" s="45" t="s">
        <v>173</v>
      </c>
      <c r="C11" s="42"/>
      <c r="D11" s="42"/>
      <c r="E11" s="43"/>
      <c r="F11" s="43"/>
      <c r="G11" s="43"/>
      <c r="K11" s="11"/>
      <c r="L11" s="11"/>
    </row>
    <row r="12" spans="1:14" s="40" customFormat="1" ht="26.25" customHeight="1">
      <c r="B12" s="45"/>
      <c r="C12" s="42"/>
      <c r="D12" s="42"/>
      <c r="E12" s="43"/>
      <c r="F12" s="43"/>
      <c r="G12" s="43"/>
      <c r="K12" s="11"/>
      <c r="L12" s="11"/>
    </row>
    <row r="13" spans="1:14" s="40" customFormat="1" ht="26.25" customHeight="1">
      <c r="B13" s="45" t="s">
        <v>424</v>
      </c>
      <c r="C13" s="42"/>
      <c r="D13" s="42"/>
      <c r="E13" s="43"/>
      <c r="F13" s="43"/>
      <c r="G13" s="43"/>
      <c r="K13" s="11"/>
      <c r="L13" s="11"/>
    </row>
    <row r="14" spans="1:14" s="40" customFormat="1" ht="26.25" customHeight="1">
      <c r="B14" s="45" t="s">
        <v>174</v>
      </c>
      <c r="C14" s="42"/>
      <c r="D14" s="42"/>
      <c r="E14" s="43"/>
      <c r="F14" s="43"/>
      <c r="G14" s="43"/>
      <c r="K14" s="11"/>
      <c r="L14" s="11"/>
    </row>
    <row r="15" spans="1:14" s="40" customFormat="1" ht="26.25" customHeight="1">
      <c r="B15" s="45"/>
      <c r="C15" s="42"/>
      <c r="D15" s="42"/>
      <c r="E15" s="43"/>
      <c r="F15" s="43"/>
      <c r="G15" s="43"/>
      <c r="K15" s="11"/>
      <c r="L15" s="11"/>
    </row>
    <row r="16" spans="1:14" s="40" customFormat="1" ht="26.25" customHeight="1">
      <c r="B16" s="45" t="s">
        <v>425</v>
      </c>
      <c r="C16" s="42"/>
      <c r="D16" s="42"/>
      <c r="E16" s="43"/>
      <c r="F16" s="43"/>
      <c r="G16" s="43"/>
      <c r="K16" s="11"/>
      <c r="L16" s="11"/>
    </row>
    <row r="17" spans="2:12" s="40" customFormat="1" ht="26.25" customHeight="1">
      <c r="B17" s="88" t="s">
        <v>401</v>
      </c>
      <c r="C17" s="42"/>
      <c r="D17" s="42"/>
      <c r="E17" s="43"/>
      <c r="F17" s="43"/>
      <c r="G17" s="43"/>
      <c r="K17" s="11"/>
      <c r="L17" s="11"/>
    </row>
    <row r="18" spans="2:12" s="40" customFormat="1" ht="26.25" customHeight="1">
      <c r="B18" s="45" t="s">
        <v>175</v>
      </c>
      <c r="C18" s="42"/>
      <c r="D18" s="42"/>
      <c r="E18" s="43"/>
      <c r="F18" s="43"/>
      <c r="G18" s="43"/>
      <c r="K18" s="11"/>
      <c r="L18" s="11"/>
    </row>
    <row r="19" spans="2:12" s="40" customFormat="1" ht="26.25" customHeight="1">
      <c r="B19" s="45"/>
      <c r="C19" s="42"/>
      <c r="D19" s="42"/>
      <c r="E19" s="43"/>
      <c r="F19" s="43"/>
      <c r="G19" s="43"/>
      <c r="K19" s="11"/>
      <c r="L19" s="11"/>
    </row>
    <row r="20" spans="2:12" s="40" customFormat="1" ht="26.25" customHeight="1">
      <c r="B20" s="45" t="s">
        <v>176</v>
      </c>
      <c r="C20" s="42"/>
      <c r="D20" s="42"/>
      <c r="E20" s="43"/>
      <c r="F20" s="43"/>
      <c r="G20" s="43"/>
      <c r="K20" s="11"/>
      <c r="L20" s="11"/>
    </row>
    <row r="21" spans="2:12" s="40" customFormat="1" ht="26.25" customHeight="1">
      <c r="B21" s="45" t="s">
        <v>177</v>
      </c>
      <c r="C21" s="42"/>
      <c r="D21" s="42"/>
      <c r="E21" s="43"/>
      <c r="F21" s="43"/>
      <c r="G21" s="43"/>
      <c r="K21" s="11"/>
      <c r="L21" s="11"/>
    </row>
    <row r="22" spans="2:12" s="40" customFormat="1" ht="26.25" customHeight="1">
      <c r="B22" s="45"/>
      <c r="C22" s="42"/>
      <c r="D22" s="42"/>
      <c r="E22" s="43"/>
      <c r="F22" s="43"/>
      <c r="G22" s="43"/>
      <c r="K22" s="11"/>
      <c r="L22" s="11"/>
    </row>
    <row r="23" spans="2:12" s="40" customFormat="1" ht="26.25" customHeight="1">
      <c r="B23" s="45" t="s">
        <v>178</v>
      </c>
      <c r="C23" s="42"/>
      <c r="D23" s="42"/>
      <c r="E23" s="43"/>
      <c r="F23" s="43"/>
      <c r="G23" s="43"/>
      <c r="K23" s="11"/>
      <c r="L23" s="11"/>
    </row>
    <row r="24" spans="2:12" s="40" customFormat="1" ht="26.25" customHeight="1">
      <c r="B24" s="45" t="s">
        <v>261</v>
      </c>
      <c r="C24" s="42"/>
      <c r="D24" s="42"/>
      <c r="E24" s="43"/>
      <c r="F24" s="43"/>
      <c r="G24" s="43"/>
      <c r="K24" s="11"/>
      <c r="L24" s="11"/>
    </row>
    <row r="25" spans="2:12" s="40" customFormat="1" ht="26.25" customHeight="1">
      <c r="B25" s="45"/>
      <c r="C25" s="42"/>
      <c r="D25" s="42"/>
      <c r="E25" s="43"/>
      <c r="F25" s="43"/>
      <c r="G25" s="43"/>
      <c r="K25" s="11"/>
      <c r="L25" s="11"/>
    </row>
    <row r="26" spans="2:12" s="40" customFormat="1" ht="26.25" customHeight="1">
      <c r="B26" s="45" t="s">
        <v>179</v>
      </c>
      <c r="C26" s="42"/>
      <c r="D26" s="42"/>
      <c r="E26" s="43"/>
      <c r="F26" s="43"/>
      <c r="G26" s="43"/>
      <c r="K26" s="11"/>
      <c r="L26" s="11"/>
    </row>
    <row r="27" spans="2:12" s="40" customFormat="1" ht="26.25" customHeight="1">
      <c r="B27" s="45" t="s">
        <v>180</v>
      </c>
      <c r="C27" s="42"/>
      <c r="D27" s="42"/>
      <c r="E27" s="43"/>
      <c r="F27" s="43"/>
      <c r="G27" s="43"/>
      <c r="K27" s="11"/>
      <c r="L27" s="11"/>
    </row>
    <row r="28" spans="2:12" s="40" customFormat="1" ht="26.25" customHeight="1">
      <c r="B28" s="45"/>
      <c r="C28" s="42"/>
      <c r="D28" s="42"/>
      <c r="E28" s="43"/>
      <c r="F28" s="43"/>
      <c r="G28" s="43"/>
      <c r="K28" s="11"/>
      <c r="L28" s="11"/>
    </row>
    <row r="29" spans="2:12" s="40" customFormat="1" ht="26.25" customHeight="1">
      <c r="B29" s="45" t="s">
        <v>181</v>
      </c>
      <c r="C29" s="42"/>
      <c r="D29" s="42"/>
      <c r="E29" s="43"/>
      <c r="F29" s="43"/>
      <c r="G29" s="43"/>
      <c r="K29" s="11"/>
      <c r="L29" s="11"/>
    </row>
    <row r="30" spans="2:12" s="40" customFormat="1" ht="26.25" customHeight="1">
      <c r="B30" s="45" t="s">
        <v>182</v>
      </c>
      <c r="C30" s="42"/>
      <c r="D30" s="42"/>
      <c r="E30" s="43"/>
      <c r="F30" s="43"/>
      <c r="G30" s="43"/>
      <c r="K30" s="11"/>
      <c r="L30" s="11"/>
    </row>
    <row r="31" spans="2:12" s="40" customFormat="1" ht="26.25" customHeight="1">
      <c r="B31" s="45"/>
      <c r="C31" s="42"/>
      <c r="D31" s="42"/>
      <c r="E31" s="43"/>
      <c r="F31" s="43"/>
      <c r="G31" s="43"/>
      <c r="K31" s="11"/>
      <c r="L31" s="11"/>
    </row>
    <row r="32" spans="2:12" s="40" customFormat="1" ht="26.25" customHeight="1">
      <c r="B32" s="45" t="s">
        <v>183</v>
      </c>
      <c r="C32" s="42"/>
      <c r="D32" s="42"/>
      <c r="E32" s="43"/>
      <c r="F32" s="43"/>
      <c r="G32" s="43"/>
      <c r="K32" s="11"/>
      <c r="L32" s="11"/>
    </row>
    <row r="33" spans="2:12" s="40" customFormat="1" ht="26.25" customHeight="1">
      <c r="B33" s="45" t="s">
        <v>184</v>
      </c>
      <c r="C33" s="42"/>
      <c r="D33" s="42"/>
      <c r="E33" s="43"/>
      <c r="F33" s="43"/>
      <c r="G33" s="43"/>
      <c r="K33" s="11"/>
      <c r="L33" s="11"/>
    </row>
    <row r="34" spans="2:12" s="40" customFormat="1" ht="26.25" customHeight="1">
      <c r="B34" s="45"/>
      <c r="C34" s="42"/>
      <c r="D34" s="42"/>
      <c r="E34" s="43"/>
      <c r="F34" s="43"/>
      <c r="G34" s="43"/>
      <c r="K34" s="11"/>
      <c r="L34" s="11"/>
    </row>
    <row r="35" spans="2:12" s="40" customFormat="1" ht="26.25" customHeight="1">
      <c r="B35" s="45" t="s">
        <v>228</v>
      </c>
      <c r="C35" s="42"/>
      <c r="D35" s="42"/>
      <c r="E35" s="43"/>
      <c r="F35" s="43"/>
      <c r="G35" s="43"/>
      <c r="K35" s="11"/>
      <c r="L35" s="11"/>
    </row>
    <row r="36" spans="2:12" s="40" customFormat="1" ht="26.25" customHeight="1">
      <c r="B36" s="45" t="s">
        <v>253</v>
      </c>
      <c r="C36" s="42"/>
      <c r="D36" s="42"/>
      <c r="E36" s="43"/>
      <c r="F36" s="43"/>
      <c r="G36" s="43"/>
      <c r="K36" s="11"/>
      <c r="L36" s="11"/>
    </row>
    <row r="37" spans="2:12" s="40" customFormat="1" ht="26.25" customHeight="1">
      <c r="B37" s="45"/>
      <c r="C37" s="42"/>
      <c r="D37" s="42"/>
      <c r="E37" s="43"/>
      <c r="F37" s="43"/>
      <c r="G37" s="43"/>
      <c r="K37" s="11"/>
      <c r="L37" s="11"/>
    </row>
    <row r="38" spans="2:12" s="40" customFormat="1" ht="26.25" customHeight="1">
      <c r="B38" s="45" t="s">
        <v>397</v>
      </c>
      <c r="C38" s="42"/>
      <c r="D38" s="42"/>
      <c r="E38" s="43"/>
      <c r="F38" s="43"/>
      <c r="G38" s="43"/>
      <c r="K38" s="11"/>
      <c r="L38" s="11"/>
    </row>
    <row r="39" spans="2:12" s="40" customFormat="1" ht="26.25" customHeight="1">
      <c r="B39" s="91" t="s">
        <v>398</v>
      </c>
      <c r="C39" s="42"/>
      <c r="D39" s="42"/>
      <c r="E39" s="43"/>
      <c r="F39" s="43"/>
      <c r="G39" s="43"/>
      <c r="K39" s="11"/>
      <c r="L39" s="11"/>
    </row>
    <row r="40" spans="2:12" s="10" customFormat="1">
      <c r="B40" s="5"/>
      <c r="C40" s="6"/>
      <c r="D40" s="6"/>
      <c r="E40" s="8"/>
      <c r="F40" s="8"/>
      <c r="G40" s="8"/>
      <c r="K40" s="11"/>
      <c r="L40" s="11"/>
    </row>
    <row r="41" spans="2:12" s="10" customFormat="1">
      <c r="B41" s="5"/>
      <c r="C41" s="6"/>
      <c r="D41" s="6"/>
      <c r="E41" s="8"/>
      <c r="F41" s="8"/>
      <c r="G41" s="8"/>
      <c r="K41" s="11"/>
      <c r="L41" s="11"/>
    </row>
    <row r="42" spans="2:12" s="10" customFormat="1">
      <c r="B42" s="5"/>
      <c r="C42" s="6"/>
      <c r="D42" s="6"/>
      <c r="E42" s="8"/>
      <c r="F42" s="8"/>
      <c r="G42" s="8"/>
      <c r="K42" s="11"/>
      <c r="L42" s="11"/>
    </row>
  </sheetData>
  <autoFilter ref="B3:L5"/>
  <customSheetViews>
    <customSheetView guid="{059B7AB1-A73C-4BC5-991D-327B0179F92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
      <headerFooter alignWithMargins="0"/>
      <autoFilter ref="B1:L1"/>
    </customSheetView>
    <customSheetView guid="{5B8A0CAF-BC9B-4670-A91B-C7F9421BC3F7}"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2"/>
      <headerFooter alignWithMargins="0"/>
      <autoFilter ref="B1:L1"/>
    </customSheetView>
    <customSheetView guid="{7B95FA94-D01D-4528-A96E-188FD548573A}" scale="55" showPageBreaks="1" showGridLines="0" printArea="1"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
      <headerFooter alignWithMargins="0"/>
      <autoFilter ref="B1:L1"/>
    </customSheetView>
    <customSheetView guid="{47AE5BBD-A385-41BE-B786-2DF2D65C20C7}"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4"/>
      <headerFooter alignWithMargins="0"/>
      <autoFilter ref="B1:L1"/>
    </customSheetView>
    <customSheetView guid="{A0FF5FE9-963B-4465-B2FA-FC8073C4F0A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5"/>
      <headerFooter alignWithMargins="0"/>
      <autoFilter ref="B1:L1"/>
    </customSheetView>
    <customSheetView guid="{5D7BC948-B761-4C79-AFD0-CA72550D1ACD}"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6"/>
      <headerFooter alignWithMargins="0"/>
      <autoFilter ref="B1:L1"/>
    </customSheetView>
    <customSheetView guid="{19095B01-EB70-4978-A824-089E8010321E}"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7"/>
      <headerFooter alignWithMargins="0"/>
      <autoFilter ref="B1:L1"/>
    </customSheetView>
    <customSheetView guid="{C7C2E1F7-8D25-45A3-98C8-F22E332F6CE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8"/>
      <headerFooter alignWithMargins="0"/>
      <autoFilter ref="B1:L1"/>
    </customSheetView>
    <customSheetView guid="{C2EE5954-9791-4212-8389-87F2B1BCEDE3}"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9"/>
      <headerFooter alignWithMargins="0"/>
      <autoFilter ref="B1:L1"/>
    </customSheetView>
    <customSheetView guid="{0BB2ECCB-433A-478D-BC68-8EAEF57773B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0"/>
      <headerFooter alignWithMargins="0"/>
      <autoFilter ref="B1:L1"/>
    </customSheetView>
    <customSheetView guid="{BB034A02-4157-4F4C-970A-104573BB908D}"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1"/>
      <headerFooter alignWithMargins="0"/>
      <autoFilter ref="B1:L1"/>
    </customSheetView>
    <customSheetView guid="{92469751-EA1A-4655-A8DE-B0733E860301}"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2"/>
      <headerFooter alignWithMargins="0"/>
      <autoFilter ref="B1:L1"/>
    </customSheetView>
    <customSheetView guid="{48DF1A33-946D-4268-BBCF-1269014A917F}"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3"/>
      <headerFooter alignWithMargins="0"/>
      <autoFilter ref="B1:L1"/>
    </customSheetView>
    <customSheetView guid="{A92F8FF7-940C-4369-B6E9-177F598A060F}"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4"/>
      <headerFooter alignWithMargins="0"/>
      <autoFilter ref="B1:L1"/>
    </customSheetView>
    <customSheetView guid="{4724C107-2586-4CA4-AE84-701A5ED764F6}"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5"/>
      <headerFooter alignWithMargins="0"/>
      <autoFilter ref="B1:L1"/>
    </customSheetView>
    <customSheetView guid="{FBC8A51E-9A49-47F0-B6E7-A8EDFB9ED9FD}"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6"/>
      <headerFooter alignWithMargins="0"/>
      <autoFilter ref="B1:L1"/>
    </customSheetView>
    <customSheetView guid="{11001B3E-87DD-4EEE-B290-3C58C59609F3}"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7"/>
      <headerFooter alignWithMargins="0"/>
      <autoFilter ref="B1:L1"/>
    </customSheetView>
    <customSheetView guid="{B1B896AC-861D-4BED-A785-C2A9799B23E6}"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8"/>
      <headerFooter alignWithMargins="0"/>
      <autoFilter ref="B1:L1"/>
    </customSheetView>
    <customSheetView guid="{F00D68A2-E6D7-448C-B246-2FC7B0898C57}"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9"/>
      <headerFooter alignWithMargins="0"/>
      <autoFilter ref="B1:L1"/>
    </customSheetView>
    <customSheetView guid="{8BD64CB5-C1EB-4DA0-9E9E-C91E7594013A}"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0"/>
      <headerFooter alignWithMargins="0"/>
      <autoFilter ref="B1:L1"/>
    </customSheetView>
    <customSheetView guid="{E63B6F26-5CA1-415A-AAF5-D842AA183F61}"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21"/>
      <headerFooter alignWithMargins="0"/>
      <autoFilter ref="B1:L1"/>
    </customSheetView>
    <customSheetView guid="{044D20CE-B695-4BC1-A3B0-D60A68B6D73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2"/>
      <headerFooter alignWithMargins="0"/>
      <autoFilter ref="B1:L1"/>
    </customSheetView>
    <customSheetView guid="{1ADEBCB8-9FB3-4DB2-BD49-E19DCBC61CF4}"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3"/>
      <headerFooter alignWithMargins="0"/>
      <autoFilter ref="B1:L1"/>
    </customSheetView>
    <customSheetView guid="{8861AE24-1F01-42AD-BF50-4516A37941D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4"/>
      <headerFooter alignWithMargins="0"/>
      <autoFilter ref="B1:L1"/>
    </customSheetView>
    <customSheetView guid="{8EA625F0-5D2E-4E9B-8B85-5A4134DD8279}"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5"/>
      <headerFooter alignWithMargins="0"/>
      <autoFilter ref="B1:L1"/>
    </customSheetView>
    <customSheetView guid="{D4A96488-6408-401A-B242-47247BD68402}"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6"/>
      <headerFooter alignWithMargins="0"/>
      <autoFilter ref="B1:L1"/>
    </customSheetView>
    <customSheetView guid="{4BD327CA-D2D9-47BB-8D43-E6A2085736FF}"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7"/>
      <headerFooter alignWithMargins="0"/>
      <autoFilter ref="B1:L1"/>
    </customSheetView>
    <customSheetView guid="{0A60D169-EA4D-42F0-A2F3-528073C1F4D5}"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8"/>
      <headerFooter alignWithMargins="0"/>
      <autoFilter ref="B1:L1"/>
    </customSheetView>
    <customSheetView guid="{F61D973C-B322-4E3F-91AB-97FEEA952E82}" scale="55" showGridLines="0"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29"/>
      <headerFooter alignWithMargins="0"/>
      <autoFilter ref="B1:L1"/>
    </customSheetView>
    <customSheetView guid="{7F5C8E7A-36EF-49B6-8AD1-0AE683E12EE0}" scale="55" showPageBreaks="1" showGridLines="0" printArea="1"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30"/>
      <headerFooter alignWithMargins="0"/>
      <autoFilter ref="B1:L1"/>
    </customSheetView>
    <customSheetView guid="{AC5D4131-12C8-4117-9087-BAF7435F9B53}" scale="55" showGridLines="0"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1"/>
      <headerFooter alignWithMargins="0"/>
      <autoFilter ref="B1:L1"/>
    </customSheetView>
    <customSheetView guid="{2DE5E7C6-AE47-4EE6-8A44-2588C73E3397}" scale="55" showGridLines="0"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2"/>
      <headerFooter alignWithMargins="0"/>
      <autoFilter ref="B1:L1"/>
    </customSheetView>
    <customSheetView guid="{98E8C3D6-8FBF-4D5C-8624-4C53BC7003C2}"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3"/>
      <headerFooter alignWithMargins="0"/>
      <autoFilter ref="B1:L1"/>
    </customSheetView>
  </customSheetViews>
  <mergeCells count="12">
    <mergeCell ref="M3:N4"/>
    <mergeCell ref="M5:N5"/>
    <mergeCell ref="G3:G4"/>
    <mergeCell ref="H3:H4"/>
    <mergeCell ref="K3:K4"/>
    <mergeCell ref="L3:L4"/>
    <mergeCell ref="F3:F4"/>
    <mergeCell ref="A3:A4"/>
    <mergeCell ref="B3:B4"/>
    <mergeCell ref="C3:C4"/>
    <mergeCell ref="D3:D4"/>
    <mergeCell ref="E3:E4"/>
  </mergeCells>
  <phoneticPr fontId="4"/>
  <printOptions horizontalCentered="1"/>
  <pageMargins left="0.39370078740157483" right="0.27559055118110237" top="0.55118110236220474" bottom="0.19685039370078741" header="0.11811023622047245" footer="0.19685039370078741"/>
  <pageSetup paperSize="9" scale="42" orientation="landscape" r:id="rId3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令和２年度決算(施設)</vt:lpstr>
      <vt:lpstr>25年度決算</vt:lpstr>
      <vt:lpstr>24年度決算</vt:lpstr>
      <vt:lpstr>23年度決算（参考・公表済み）</vt:lpstr>
      <vt:lpstr>凡例（施設）</vt:lpstr>
      <vt:lpstr>'23年度決算（参考・公表済み）'!Print_Area</vt:lpstr>
      <vt:lpstr>'24年度決算'!Print_Area</vt:lpstr>
      <vt:lpstr>'凡例（施設）'!Print_Area</vt:lpstr>
      <vt:lpstr>'令和２年度決算(施設)'!Print_Area</vt:lpstr>
      <vt:lpstr>'23年度決算（参考・公表済み）'!Print_Titles</vt:lpstr>
      <vt:lpstr>'24年度決算'!Print_Titles</vt:lpstr>
      <vt:lpstr>'凡例（施設）'!Print_Titles</vt:lpstr>
      <vt:lpstr>'令和２年度決算(施設)'!Print_Titles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2021-12-23T07:41:37Z</cp:lastPrinted>
  <dcterms:created xsi:type="dcterms:W3CDTF">2012-01-04T07:14:18Z</dcterms:created>
  <dcterms:modified xsi:type="dcterms:W3CDTF">2021-12-24T09:12:08Z</dcterms:modified>
</cp:coreProperties>
</file>