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572" windowWidth="19236" windowHeight="5712" activeTab="0"/>
  </bookViews>
  <sheets>
    <sheet name="26年度決算" sheetId="1" r:id="rId1"/>
    <sheet name="25年度決算" sheetId="2" state="hidden" r:id="rId2"/>
    <sheet name="24年度決算" sheetId="3" state="hidden" r:id="rId3"/>
    <sheet name="23年度決算（参考・公表済み）" sheetId="4" state="hidden" r:id="rId4"/>
    <sheet name="凡例" sheetId="5" r:id="rId5"/>
  </sheets>
  <definedNames>
    <definedName name="_xlnm._FilterDatabase" localSheetId="3" hidden="1">'23年度決算（参考・公表済み）'!$B$3:$L$64</definedName>
    <definedName name="_xlnm._FilterDatabase" localSheetId="2" hidden="1">'24年度決算'!$B$3:$L$64</definedName>
    <definedName name="_xlnm._FilterDatabase" localSheetId="1" hidden="1">'25年度決算'!$B$3:$L$64</definedName>
    <definedName name="_xlnm._FilterDatabase" localSheetId="0" hidden="1">'26年度決算'!$A$3:$M$63</definedName>
    <definedName name="_xlnm._FilterDatabase" localSheetId="4" hidden="1">'凡例'!$B$3:$L$5</definedName>
    <definedName name="_xlnm.Print_Area" localSheetId="3">'23年度決算（参考・公表済み）'!$A$1:$M$72</definedName>
    <definedName name="_xlnm.Print_Area" localSheetId="2">'24年度決算'!$A$1:$M$72</definedName>
    <definedName name="_xlnm.Print_Area" localSheetId="1">'25年度決算'!$A$1:$M$72</definedName>
    <definedName name="_xlnm.Print_Area" localSheetId="0">'26年度決算'!$A$1:$M$71</definedName>
    <definedName name="_xlnm.Print_Area" localSheetId="4">'凡例'!$A$1:$M$39</definedName>
    <definedName name="_xlnm.Print_Titles" localSheetId="3">'23年度決算（参考・公表済み）'!$B:$C,'23年度決算（参考・公表済み）'!$3:$4</definedName>
    <definedName name="_xlnm.Print_Titles" localSheetId="2">'24年度決算'!$B:$C,'24年度決算'!$3:$4</definedName>
    <definedName name="_xlnm.Print_Titles" localSheetId="1">'25年度決算'!$B:$C,'25年度決算'!$3:$4</definedName>
    <definedName name="_xlnm.Print_Titles" localSheetId="0">'26年度決算'!$B:$C,'26年度決算'!$3:$4</definedName>
    <definedName name="_xlnm.Print_Titles" localSheetId="4">'凡例'!$B:$C,'凡例'!$3:$4</definedName>
    <definedName name="Z_2EE33515_06C7_4ACF_A88B_A7FB8BA87F69_.wvu.Cols" localSheetId="3" hidden="1">'23年度決算（参考・公表済み）'!#REF!,'23年度決算（参考・公表済み）'!$F:$H</definedName>
    <definedName name="Z_2EE33515_06C7_4ACF_A88B_A7FB8BA87F69_.wvu.Cols" localSheetId="2" hidden="1">'24年度決算'!#REF!,'24年度決算'!$F:$H</definedName>
    <definedName name="Z_2EE33515_06C7_4ACF_A88B_A7FB8BA87F69_.wvu.Cols" localSheetId="1" hidden="1">'25年度決算'!#REF!,'25年度決算'!$F:$H</definedName>
    <definedName name="Z_2EE33515_06C7_4ACF_A88B_A7FB8BA87F69_.wvu.Cols" localSheetId="0" hidden="1">'26年度決算'!#REF!,'26年度決算'!$F:$H</definedName>
    <definedName name="Z_2EE33515_06C7_4ACF_A88B_A7FB8BA87F69_.wvu.Cols" localSheetId="4" hidden="1">'凡例'!#REF!,'凡例'!$F:$H</definedName>
    <definedName name="Z_2EE33515_06C7_4ACF_A88B_A7FB8BA87F69_.wvu.FilterData" localSheetId="3" hidden="1">'23年度決算（参考・公表済み）'!$B$3:$L$64</definedName>
    <definedName name="Z_2EE33515_06C7_4ACF_A88B_A7FB8BA87F69_.wvu.FilterData" localSheetId="2" hidden="1">'24年度決算'!$B$3:$L$64</definedName>
    <definedName name="Z_2EE33515_06C7_4ACF_A88B_A7FB8BA87F69_.wvu.FilterData" localSheetId="1" hidden="1">'25年度決算'!$B$3:$L$64</definedName>
    <definedName name="Z_2EE33515_06C7_4ACF_A88B_A7FB8BA87F69_.wvu.FilterData" localSheetId="0" hidden="1">'26年度決算'!$B$3:$L$63</definedName>
    <definedName name="Z_2EE33515_06C7_4ACF_A88B_A7FB8BA87F69_.wvu.FilterData" localSheetId="4" hidden="1">'凡例'!$B$3:$L$5</definedName>
    <definedName name="Z_2EE33515_06C7_4ACF_A88B_A7FB8BA87F69_.wvu.PrintArea" localSheetId="3" hidden="1">'23年度決算（参考・公表済み）'!$B$2:$H$64</definedName>
    <definedName name="Z_2EE33515_06C7_4ACF_A88B_A7FB8BA87F69_.wvu.PrintArea" localSheetId="2" hidden="1">'24年度決算'!$B$2:$H$64</definedName>
    <definedName name="Z_2EE33515_06C7_4ACF_A88B_A7FB8BA87F69_.wvu.PrintArea" localSheetId="1" hidden="1">'25年度決算'!$B$2:$H$64</definedName>
    <definedName name="Z_2EE33515_06C7_4ACF_A88B_A7FB8BA87F69_.wvu.PrintArea" localSheetId="0" hidden="1">'26年度決算'!$B$2:$H$63</definedName>
    <definedName name="Z_2EE33515_06C7_4ACF_A88B_A7FB8BA87F69_.wvu.PrintArea" localSheetId="4" hidden="1">'凡例'!$B$2:$H$5</definedName>
    <definedName name="Z_2EE33515_06C7_4ACF_A88B_A7FB8BA87F69_.wvu.PrintTitles" localSheetId="3" hidden="1">'23年度決算（参考・公表済み）'!$3:$4</definedName>
    <definedName name="Z_2EE33515_06C7_4ACF_A88B_A7FB8BA87F69_.wvu.PrintTitles" localSheetId="2" hidden="1">'24年度決算'!$3:$4</definedName>
    <definedName name="Z_2EE33515_06C7_4ACF_A88B_A7FB8BA87F69_.wvu.PrintTitles" localSheetId="1" hidden="1">'25年度決算'!$3:$4</definedName>
    <definedName name="Z_2EE33515_06C7_4ACF_A88B_A7FB8BA87F69_.wvu.PrintTitles" localSheetId="0" hidden="1">'26年度決算'!$3:$4</definedName>
    <definedName name="Z_2EE33515_06C7_4ACF_A88B_A7FB8BA87F69_.wvu.PrintTitles" localSheetId="4" hidden="1">'凡例'!$3:$4</definedName>
    <definedName name="Z_2EE33515_06C7_4ACF_A88B_A7FB8BA87F69_.wvu.Rows" localSheetId="3" hidden="1">'23年度決算（参考・公表済み）'!#REF!</definedName>
    <definedName name="Z_2EE33515_06C7_4ACF_A88B_A7FB8BA87F69_.wvu.Rows" localSheetId="2" hidden="1">'24年度決算'!#REF!</definedName>
    <definedName name="Z_2EE33515_06C7_4ACF_A88B_A7FB8BA87F69_.wvu.Rows" localSheetId="1" hidden="1">'25年度決算'!#REF!</definedName>
    <definedName name="Z_2EE33515_06C7_4ACF_A88B_A7FB8BA87F69_.wvu.Rows" localSheetId="0" hidden="1">'26年度決算'!#REF!</definedName>
    <definedName name="Z_2EE33515_06C7_4ACF_A88B_A7FB8BA87F69_.wvu.Rows" localSheetId="4" hidden="1">'凡例'!#REF!</definedName>
    <definedName name="Z_3A32E19C_D4D3_4CC1_9C3D_868EE45F055E_.wvu.FilterData" localSheetId="3" hidden="1">'23年度決算（参考・公表済み）'!$B$3:$L$64</definedName>
    <definedName name="Z_3A32E19C_D4D3_4CC1_9C3D_868EE45F055E_.wvu.FilterData" localSheetId="2" hidden="1">'24年度決算'!$B$3:$L$64</definedName>
    <definedName name="Z_3A32E19C_D4D3_4CC1_9C3D_868EE45F055E_.wvu.FilterData" localSheetId="1" hidden="1">'25年度決算'!$B$3:$L$64</definedName>
    <definedName name="Z_3A32E19C_D4D3_4CC1_9C3D_868EE45F055E_.wvu.FilterData" localSheetId="0" hidden="1">'26年度決算'!$B$3:$L$63</definedName>
    <definedName name="Z_3A32E19C_D4D3_4CC1_9C3D_868EE45F055E_.wvu.FilterData" localSheetId="4" hidden="1">'凡例'!$B$3:$L$5</definedName>
    <definedName name="Z_7846096B_A981_4690_8ACE_5F019355F38C_.wvu.FilterData" localSheetId="3" hidden="1">'23年度決算（参考・公表済み）'!$B$3:$L$64</definedName>
    <definedName name="Z_7846096B_A981_4690_8ACE_5F019355F38C_.wvu.FilterData" localSheetId="2" hidden="1">'24年度決算'!$B$3:$L$64</definedName>
    <definedName name="Z_7846096B_A981_4690_8ACE_5F019355F38C_.wvu.FilterData" localSheetId="1" hidden="1">'25年度決算'!$B$3:$L$64</definedName>
    <definedName name="Z_7846096B_A981_4690_8ACE_5F019355F38C_.wvu.FilterData" localSheetId="0" hidden="1">'26年度決算'!$B$3:$L$63</definedName>
    <definedName name="Z_7846096B_A981_4690_8ACE_5F019355F38C_.wvu.FilterData" localSheetId="4" hidden="1">'凡例'!$B$3:$L$5</definedName>
    <definedName name="Z_8CCCCA31_BF3F_4488_9349_D417CF63AE1B_.wvu.Cols" localSheetId="3" hidden="1">'23年度決算（参考・公表済み）'!#REF!,'23年度決算（参考・公表済み）'!$F:$H</definedName>
    <definedName name="Z_8CCCCA31_BF3F_4488_9349_D417CF63AE1B_.wvu.Cols" localSheetId="2" hidden="1">'24年度決算'!#REF!,'24年度決算'!$F:$H</definedName>
    <definedName name="Z_8CCCCA31_BF3F_4488_9349_D417CF63AE1B_.wvu.Cols" localSheetId="1" hidden="1">'25年度決算'!#REF!,'25年度決算'!$F:$H</definedName>
    <definedName name="Z_8CCCCA31_BF3F_4488_9349_D417CF63AE1B_.wvu.Cols" localSheetId="0" hidden="1">'26年度決算'!#REF!,'26年度決算'!$F:$H</definedName>
    <definedName name="Z_8CCCCA31_BF3F_4488_9349_D417CF63AE1B_.wvu.Cols" localSheetId="4" hidden="1">'凡例'!#REF!,'凡例'!$F:$H</definedName>
    <definedName name="Z_8CCCCA31_BF3F_4488_9349_D417CF63AE1B_.wvu.FilterData" localSheetId="3" hidden="1">'23年度決算（参考・公表済み）'!$B$3:$L$64</definedName>
    <definedName name="Z_8CCCCA31_BF3F_4488_9349_D417CF63AE1B_.wvu.FilterData" localSheetId="2" hidden="1">'24年度決算'!$B$3:$L$64</definedName>
    <definedName name="Z_8CCCCA31_BF3F_4488_9349_D417CF63AE1B_.wvu.FilterData" localSheetId="1" hidden="1">'25年度決算'!$B$3:$L$64</definedName>
    <definedName name="Z_8CCCCA31_BF3F_4488_9349_D417CF63AE1B_.wvu.FilterData" localSheetId="0" hidden="1">'26年度決算'!$B$3:$L$63</definedName>
    <definedName name="Z_8CCCCA31_BF3F_4488_9349_D417CF63AE1B_.wvu.FilterData" localSheetId="4" hidden="1">'凡例'!$B$3:$L$5</definedName>
    <definedName name="Z_8CCCCA31_BF3F_4488_9349_D417CF63AE1B_.wvu.PrintArea" localSheetId="3" hidden="1">'23年度決算（参考・公表済み）'!$B$2:$H$64</definedName>
    <definedName name="Z_8CCCCA31_BF3F_4488_9349_D417CF63AE1B_.wvu.PrintArea" localSheetId="2" hidden="1">'24年度決算'!$B$2:$H$64</definedName>
    <definedName name="Z_8CCCCA31_BF3F_4488_9349_D417CF63AE1B_.wvu.PrintArea" localSheetId="1" hidden="1">'25年度決算'!$B$2:$H$64</definedName>
    <definedName name="Z_8CCCCA31_BF3F_4488_9349_D417CF63AE1B_.wvu.PrintArea" localSheetId="0" hidden="1">'26年度決算'!$B$2:$H$63</definedName>
    <definedName name="Z_8CCCCA31_BF3F_4488_9349_D417CF63AE1B_.wvu.PrintArea" localSheetId="4" hidden="1">'凡例'!$B$2:$H$5</definedName>
    <definedName name="Z_8CCCCA31_BF3F_4488_9349_D417CF63AE1B_.wvu.PrintTitles" localSheetId="3" hidden="1">'23年度決算（参考・公表済み）'!$3:$4</definedName>
    <definedName name="Z_8CCCCA31_BF3F_4488_9349_D417CF63AE1B_.wvu.PrintTitles" localSheetId="2" hidden="1">'24年度決算'!$3:$4</definedName>
    <definedName name="Z_8CCCCA31_BF3F_4488_9349_D417CF63AE1B_.wvu.PrintTitles" localSheetId="1" hidden="1">'25年度決算'!$3:$4</definedName>
    <definedName name="Z_8CCCCA31_BF3F_4488_9349_D417CF63AE1B_.wvu.PrintTitles" localSheetId="0" hidden="1">'26年度決算'!$3:$4</definedName>
    <definedName name="Z_8CCCCA31_BF3F_4488_9349_D417CF63AE1B_.wvu.PrintTitles" localSheetId="4" hidden="1">'凡例'!$3:$4</definedName>
    <definedName name="Z_A2060EB8_04D7_4410_B680_6694C82F7437_.wvu.Cols" localSheetId="3" hidden="1">'23年度決算（参考・公表済み）'!#REF!,'23年度決算（参考・公表済み）'!$F:$H</definedName>
    <definedName name="Z_A2060EB8_04D7_4410_B680_6694C82F7437_.wvu.Cols" localSheetId="2" hidden="1">'24年度決算'!#REF!,'24年度決算'!$F:$H</definedName>
    <definedName name="Z_A2060EB8_04D7_4410_B680_6694C82F7437_.wvu.Cols" localSheetId="1" hidden="1">'25年度決算'!#REF!,'25年度決算'!$F:$H</definedName>
    <definedName name="Z_A2060EB8_04D7_4410_B680_6694C82F7437_.wvu.Cols" localSheetId="0" hidden="1">'26年度決算'!#REF!,'26年度決算'!$F:$H</definedName>
    <definedName name="Z_A2060EB8_04D7_4410_B680_6694C82F7437_.wvu.Cols" localSheetId="4" hidden="1">'凡例'!#REF!,'凡例'!$F:$H</definedName>
    <definedName name="Z_A2060EB8_04D7_4410_B680_6694C82F7437_.wvu.FilterData" localSheetId="3" hidden="1">'23年度決算（参考・公表済み）'!$B$3:$L$64</definedName>
    <definedName name="Z_A2060EB8_04D7_4410_B680_6694C82F7437_.wvu.FilterData" localSheetId="2" hidden="1">'24年度決算'!$B$3:$L$64</definedName>
    <definedName name="Z_A2060EB8_04D7_4410_B680_6694C82F7437_.wvu.FilterData" localSheetId="1" hidden="1">'25年度決算'!$B$3:$L$64</definedName>
    <definedName name="Z_A2060EB8_04D7_4410_B680_6694C82F7437_.wvu.FilterData" localSheetId="0" hidden="1">'26年度決算'!$B$3:$L$63</definedName>
    <definedName name="Z_A2060EB8_04D7_4410_B680_6694C82F7437_.wvu.FilterData" localSheetId="4" hidden="1">'凡例'!$B$3:$L$5</definedName>
    <definedName name="Z_A2060EB8_04D7_4410_B680_6694C82F7437_.wvu.PrintArea" localSheetId="3" hidden="1">'23年度決算（参考・公表済み）'!$B$2:$H$64</definedName>
    <definedName name="Z_A2060EB8_04D7_4410_B680_6694C82F7437_.wvu.PrintArea" localSheetId="2" hidden="1">'24年度決算'!$B$2:$H$64</definedName>
    <definedName name="Z_A2060EB8_04D7_4410_B680_6694C82F7437_.wvu.PrintArea" localSheetId="1" hidden="1">'25年度決算'!$B$2:$H$64</definedName>
    <definedName name="Z_A2060EB8_04D7_4410_B680_6694C82F7437_.wvu.PrintArea" localSheetId="0" hidden="1">'26年度決算'!$B$2:$H$63</definedName>
    <definedName name="Z_A2060EB8_04D7_4410_B680_6694C82F7437_.wvu.PrintArea" localSheetId="4" hidden="1">'凡例'!$B$2:$H$5</definedName>
    <definedName name="Z_A2060EB8_04D7_4410_B680_6694C82F7437_.wvu.PrintTitles" localSheetId="3" hidden="1">'23年度決算（参考・公表済み）'!$3:$4</definedName>
    <definedName name="Z_A2060EB8_04D7_4410_B680_6694C82F7437_.wvu.PrintTitles" localSheetId="2" hidden="1">'24年度決算'!$3:$4</definedName>
    <definedName name="Z_A2060EB8_04D7_4410_B680_6694C82F7437_.wvu.PrintTitles" localSheetId="1" hidden="1">'25年度決算'!$3:$4</definedName>
    <definedName name="Z_A2060EB8_04D7_4410_B680_6694C82F7437_.wvu.PrintTitles" localSheetId="0" hidden="1">'26年度決算'!$3:$4</definedName>
    <definedName name="Z_A2060EB8_04D7_4410_B680_6694C82F7437_.wvu.PrintTitles" localSheetId="4" hidden="1">'凡例'!$3:$4</definedName>
    <definedName name="Z_A2060EB8_04D7_4410_B680_6694C82F7437_.wvu.Rows" localSheetId="3" hidden="1">'23年度決算（参考・公表済み）'!#REF!</definedName>
    <definedName name="Z_A2060EB8_04D7_4410_B680_6694C82F7437_.wvu.Rows" localSheetId="2" hidden="1">'24年度決算'!#REF!</definedName>
    <definedName name="Z_A2060EB8_04D7_4410_B680_6694C82F7437_.wvu.Rows" localSheetId="1" hidden="1">'25年度決算'!#REF!</definedName>
    <definedName name="Z_A2060EB8_04D7_4410_B680_6694C82F7437_.wvu.Rows" localSheetId="0" hidden="1">'26年度決算'!#REF!</definedName>
    <definedName name="Z_A2060EB8_04D7_4410_B680_6694C82F7437_.wvu.Rows" localSheetId="4" hidden="1">'凡例'!#REF!</definedName>
  </definedNames>
  <calcPr fullCalcOnLoad="1"/>
</workbook>
</file>

<file path=xl/comments1.xml><?xml version="1.0" encoding="utf-8"?>
<comments xmlns="http://schemas.openxmlformats.org/spreadsheetml/2006/main">
  <authors>
    <author> </author>
  </authors>
  <commentList>
    <comment ref="B3" authorId="0">
      <text>
        <r>
          <rPr>
            <sz val="12"/>
            <rFont val="ＭＳ Ｐゴシック"/>
            <family val="3"/>
          </rPr>
          <t>原則として、施設の設置条例を所管する局を記載しています。</t>
        </r>
        <r>
          <rPr>
            <sz val="9"/>
            <rFont val="ＭＳ Ｐゴシック"/>
            <family val="3"/>
          </rPr>
          <t xml:space="preserve">
</t>
        </r>
      </text>
    </comment>
    <comment ref="C3" authorId="0">
      <text>
        <r>
          <rPr>
            <sz val="12"/>
            <rFont val="ＭＳ Ｐゴシック"/>
            <family val="3"/>
          </rPr>
          <t>「市民利用施設等の利用者負担の考え方」に該当する施設を掲載しています。なお、複数館ある施設については、代表的な１館を掲載しています。</t>
        </r>
        <r>
          <rPr>
            <sz val="9"/>
            <rFont val="ＭＳ Ｐゴシック"/>
            <family val="3"/>
          </rPr>
          <t xml:space="preserve">
</t>
        </r>
      </text>
    </comment>
    <comment ref="E3" authorId="0">
      <text>
        <r>
          <rPr>
            <sz val="12"/>
            <rFont val="ＭＳ Ｐゴシック"/>
            <family val="3"/>
          </rPr>
          <t xml:space="preserve">使用料収入と減免額を合計した額を管理運営コストで割った割合を掲載しています。③＝（④＋⑤）÷⑥
</t>
        </r>
      </text>
    </comment>
    <comment ref="F3" authorId="0">
      <text>
        <r>
          <rPr>
            <sz val="12"/>
            <rFont val="ＭＳ Ｐゴシック"/>
            <family val="3"/>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rFont val="ＭＳ Ｐゴシック"/>
            <family val="3"/>
          </rPr>
          <t xml:space="preserve">
</t>
        </r>
      </text>
    </comment>
    <comment ref="G3" authorId="0">
      <text>
        <r>
          <rPr>
            <sz val="12"/>
            <rFont val="ＭＳ Ｐゴシック"/>
            <family val="3"/>
          </rPr>
          <t>減額・免除、または優遇した額</t>
        </r>
      </text>
    </comment>
    <comment ref="H3" authorId="0">
      <text>
        <r>
          <rPr>
            <sz val="12"/>
            <rFont val="ＭＳ Ｐゴシック"/>
            <family val="3"/>
          </rPr>
          <t>平成26年度の管理運営コストを掲載しています。施設の管理運営に必要な経費だけを掲載し、施設の建設にかかるコストや大規模改修費は含んでいません。</t>
        </r>
      </text>
    </comment>
    <comment ref="K3" authorId="0">
      <text>
        <r>
          <rPr>
            <sz val="12"/>
            <rFont val="ＭＳ Ｐゴシック"/>
            <family val="3"/>
          </rPr>
          <t>複数の料金がある場合は、入場料などの主な料金を記載しています。</t>
        </r>
      </text>
    </comment>
    <comment ref="L3" authorId="0">
      <text>
        <r>
          <rPr>
            <sz val="12"/>
            <rFont val="ＭＳ Ｐゴシック"/>
            <family val="3"/>
          </rPr>
          <t>26年度に減額したり、免除した際に適用した理由の主なものを記載しています。</t>
        </r>
      </text>
    </comment>
    <comment ref="I4" authorId="0">
      <text>
        <r>
          <rPr>
            <sz val="12"/>
            <rFont val="ＭＳ Ｐゴシック"/>
            <family val="3"/>
          </rPr>
          <t>アルバイト賃金も含んだ額を人件費としています。本市所管課職員の人件費等の間接経費は除いています。また、退職給与引当金は、原則除いています。</t>
        </r>
      </text>
    </comment>
    <comment ref="J4" authorId="0">
      <text>
        <r>
          <rPr>
            <sz val="12"/>
            <rFont val="ＭＳ Ｐゴシック"/>
            <family val="3"/>
          </rPr>
          <t xml:space="preserve">光熱水費、委託料、消耗品など、人件費以外に施設の管理運営に必要な経費を掲載しています。
</t>
        </r>
      </text>
    </comment>
  </commentList>
</comments>
</file>

<file path=xl/comments2.xml><?xml version="1.0" encoding="utf-8"?>
<comments xmlns="http://schemas.openxmlformats.org/spreadsheetml/2006/main">
  <authors>
    <author> </author>
    <author>itouyuu</author>
    <author>財政局財政課</author>
  </authors>
  <commentList>
    <comment ref="B3" authorId="0">
      <text>
        <r>
          <rPr>
            <sz val="12"/>
            <rFont val="ＭＳ Ｐゴシック"/>
            <family val="3"/>
          </rPr>
          <t>原則として、施設の設置条例を所管する局を記載しています。</t>
        </r>
        <r>
          <rPr>
            <sz val="9"/>
            <rFont val="ＭＳ Ｐゴシック"/>
            <family val="3"/>
          </rPr>
          <t xml:space="preserve">
</t>
        </r>
      </text>
    </comment>
    <comment ref="C3" authorId="0">
      <text>
        <r>
          <rPr>
            <sz val="12"/>
            <rFont val="ＭＳ Ｐゴシック"/>
            <family val="3"/>
          </rPr>
          <t>「市民利用施設等の利用者負担の考え方」に該当する施設を掲載しています。なお、複数館ある施設については、代表的な１館を掲載しています。</t>
        </r>
        <r>
          <rPr>
            <sz val="9"/>
            <rFont val="ＭＳ Ｐゴシック"/>
            <family val="3"/>
          </rPr>
          <t xml:space="preserve">
</t>
        </r>
      </text>
    </comment>
    <comment ref="E3" authorId="0">
      <text>
        <r>
          <rPr>
            <sz val="12"/>
            <rFont val="ＭＳ Ｐゴシック"/>
            <family val="3"/>
          </rPr>
          <t xml:space="preserve">使用料収入と減免額を合計した額を管理運営コストで割った割合を掲載しています。③＝（④＋⑤）÷⑥
</t>
        </r>
      </text>
    </comment>
    <comment ref="F3" authorId="0">
      <text>
        <r>
          <rPr>
            <sz val="12"/>
            <rFont val="ＭＳ Ｐゴシック"/>
            <family val="3"/>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rFont val="ＭＳ Ｐゴシック"/>
            <family val="3"/>
          </rPr>
          <t xml:space="preserve">
</t>
        </r>
      </text>
    </comment>
    <comment ref="G3" authorId="0">
      <text>
        <r>
          <rPr>
            <sz val="12"/>
            <rFont val="ＭＳ Ｐゴシック"/>
            <family val="3"/>
          </rPr>
          <t>減額・免除、または優遇した額</t>
        </r>
      </text>
    </comment>
    <comment ref="H3" authorId="0">
      <text>
        <r>
          <rPr>
            <sz val="12"/>
            <rFont val="ＭＳ Ｐゴシック"/>
            <family val="3"/>
          </rPr>
          <t>平成25年度の管理運営コストを掲載しています。施設の管理運営に必要な経費だけを掲載し、施設の建設にかかるコストや大規模改修費は含んでいません。</t>
        </r>
      </text>
    </comment>
    <comment ref="K3" authorId="0">
      <text>
        <r>
          <rPr>
            <sz val="12"/>
            <rFont val="ＭＳ Ｐゴシック"/>
            <family val="3"/>
          </rPr>
          <t>複数の料金がある場合は、入場料などの主な料金を記載しています。</t>
        </r>
      </text>
    </comment>
    <comment ref="L3" authorId="0">
      <text>
        <r>
          <rPr>
            <sz val="12"/>
            <rFont val="ＭＳ Ｐゴシック"/>
            <family val="3"/>
          </rPr>
          <t>25年度に減額したり、免除した際に適用した理由の主なものを記載しています。</t>
        </r>
      </text>
    </comment>
    <comment ref="M3" authorId="0">
      <text>
        <r>
          <rPr>
            <sz val="12"/>
            <rFont val="ＭＳ Ｐゴシック"/>
            <family val="3"/>
          </rPr>
          <t>各施設等の収入及びコストを詳しくご覧いただけます。</t>
        </r>
      </text>
    </comment>
    <comment ref="I4" authorId="0">
      <text>
        <r>
          <rPr>
            <sz val="12"/>
            <rFont val="ＭＳ Ｐゴシック"/>
            <family val="3"/>
          </rPr>
          <t>アルバイト賃金も含んだ額を人件費としています。本市所管課職員の人件費等の間接経費は除いています。また、退職給与引当金は、原則除いています。</t>
        </r>
      </text>
    </comment>
    <comment ref="J4" authorId="0">
      <text>
        <r>
          <rPr>
            <sz val="12"/>
            <rFont val="ＭＳ Ｐゴシック"/>
            <family val="3"/>
          </rPr>
          <t xml:space="preserve">光熱水費、委託料、消耗品など、人件費以外に施設の管理運営に必要な経費を掲載しています。
</t>
        </r>
      </text>
    </comment>
    <comment ref="K27" authorId="1">
      <text>
        <r>
          <rPr>
            <b/>
            <sz val="9"/>
            <rFont val="ＭＳ Ｐゴシック"/>
            <family val="3"/>
          </rPr>
          <t>料金改正
H23年10月1日～</t>
        </r>
      </text>
    </comment>
    <comment ref="K23" authorId="2">
      <text>
        <r>
          <rPr>
            <b/>
            <sz val="22"/>
            <rFont val="ＭＳ Ｐゴシック"/>
            <family val="3"/>
          </rPr>
          <t>財政局財政課:</t>
        </r>
        <r>
          <rPr>
            <sz val="22"/>
            <rFont val="ＭＳ Ｐゴシック"/>
            <family val="3"/>
          </rPr>
          <t xml:space="preserve">
1,000円未満の入場料を徴収する場合にした方が正確かな？</t>
        </r>
      </text>
    </comment>
  </commentList>
</comments>
</file>

<file path=xl/comments3.xml><?xml version="1.0" encoding="utf-8"?>
<comments xmlns="http://schemas.openxmlformats.org/spreadsheetml/2006/main">
  <authors>
    <author> </author>
  </authors>
  <commentList>
    <comment ref="B3" authorId="0">
      <text>
        <r>
          <rPr>
            <sz val="12"/>
            <rFont val="ＭＳ Ｐゴシック"/>
            <family val="3"/>
          </rPr>
          <t>原則として、施設の設置条例を所管する局を記載しています。</t>
        </r>
        <r>
          <rPr>
            <sz val="9"/>
            <rFont val="ＭＳ Ｐゴシック"/>
            <family val="3"/>
          </rPr>
          <t xml:space="preserve">
</t>
        </r>
      </text>
    </comment>
    <comment ref="C3" authorId="0">
      <text>
        <r>
          <rPr>
            <sz val="12"/>
            <rFont val="ＭＳ Ｐゴシック"/>
            <family val="3"/>
          </rPr>
          <t>「市民利用施設等の利用者負担の考え方」に該当する施設を掲載しています。なお、複数館ある施設については、代表的な１館を掲載しています。</t>
        </r>
        <r>
          <rPr>
            <sz val="9"/>
            <rFont val="ＭＳ Ｐゴシック"/>
            <family val="3"/>
          </rPr>
          <t xml:space="preserve">
</t>
        </r>
      </text>
    </comment>
    <comment ref="E3" authorId="0">
      <text>
        <r>
          <rPr>
            <sz val="12"/>
            <rFont val="ＭＳ Ｐゴシック"/>
            <family val="3"/>
          </rPr>
          <t xml:space="preserve">使用料収入と減免額を合計した額を管理運営コストで割った割合を掲載しています。③＝（④＋⑤）÷⑥
</t>
        </r>
      </text>
    </comment>
    <comment ref="F3" authorId="0">
      <text>
        <r>
          <rPr>
            <sz val="12"/>
            <rFont val="ＭＳ Ｐゴシック"/>
            <family val="3"/>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rFont val="ＭＳ Ｐゴシック"/>
            <family val="3"/>
          </rPr>
          <t xml:space="preserve">
</t>
        </r>
      </text>
    </comment>
    <comment ref="G3" authorId="0">
      <text>
        <r>
          <rPr>
            <sz val="12"/>
            <rFont val="ＭＳ Ｐゴシック"/>
            <family val="3"/>
          </rPr>
          <t>減額・免除、または優遇した額</t>
        </r>
      </text>
    </comment>
    <comment ref="H3" authorId="0">
      <text>
        <r>
          <rPr>
            <sz val="12"/>
            <rFont val="ＭＳ Ｐゴシック"/>
            <family val="3"/>
          </rPr>
          <t>平成24年度の管理運営コストを掲載しています。施設の管理運営に必要な経費だけを掲載し、施設の建設にかかるコストや大規模改修費は含んでいません。</t>
        </r>
      </text>
    </comment>
    <comment ref="K3" authorId="0">
      <text>
        <r>
          <rPr>
            <sz val="12"/>
            <rFont val="ＭＳ Ｐゴシック"/>
            <family val="3"/>
          </rPr>
          <t>複数の料金がある場合は、入場料などの主な料金を記載しています。</t>
        </r>
      </text>
    </comment>
    <comment ref="L3" authorId="0">
      <text>
        <r>
          <rPr>
            <sz val="12"/>
            <rFont val="ＭＳ Ｐゴシック"/>
            <family val="3"/>
          </rPr>
          <t>24年度に減額したり、免除した際に適用した理由の主なものを記載しています。</t>
        </r>
      </text>
    </comment>
    <comment ref="M3" authorId="0">
      <text>
        <r>
          <rPr>
            <sz val="12"/>
            <rFont val="ＭＳ Ｐゴシック"/>
            <family val="3"/>
          </rPr>
          <t>各施設等の収入及びコストを詳しくご覧いただけます。</t>
        </r>
      </text>
    </comment>
    <comment ref="I4" authorId="0">
      <text>
        <r>
          <rPr>
            <sz val="12"/>
            <rFont val="ＭＳ Ｐゴシック"/>
            <family val="3"/>
          </rPr>
          <t>アルバイト賃金も含んだ額を人件費としています。本市所管課職員の人件費等の間接経費は除いています。また、退職給与引当金は、原則除いています。</t>
        </r>
      </text>
    </comment>
    <comment ref="J4" authorId="0">
      <text>
        <r>
          <rPr>
            <sz val="12"/>
            <rFont val="ＭＳ Ｐゴシック"/>
            <family val="3"/>
          </rPr>
          <t xml:space="preserve">光熱水費、委託料、消耗品など、人件費以外に施設の管理運営に必要な経費を掲載しています。
</t>
        </r>
      </text>
    </comment>
  </commentList>
</comments>
</file>

<file path=xl/comments4.xml><?xml version="1.0" encoding="utf-8"?>
<comments xmlns="http://schemas.openxmlformats.org/spreadsheetml/2006/main">
  <authors>
    <author> </author>
  </authors>
  <commentList>
    <comment ref="B3" authorId="0">
      <text>
        <r>
          <rPr>
            <sz val="12"/>
            <rFont val="ＭＳ Ｐゴシック"/>
            <family val="3"/>
          </rPr>
          <t>原則として、施設の設置条例を所管する局を記載しています。</t>
        </r>
        <r>
          <rPr>
            <sz val="9"/>
            <rFont val="ＭＳ Ｐゴシック"/>
            <family val="3"/>
          </rPr>
          <t xml:space="preserve">
</t>
        </r>
      </text>
    </comment>
    <comment ref="C3" authorId="0">
      <text>
        <r>
          <rPr>
            <sz val="12"/>
            <rFont val="ＭＳ Ｐゴシック"/>
            <family val="3"/>
          </rPr>
          <t>「市民利用施設等の利用者負担の考え方」に該当する施設を掲載しています。なお、複数館ある施設については、代表的な１館を掲載しています。</t>
        </r>
        <r>
          <rPr>
            <sz val="9"/>
            <rFont val="ＭＳ Ｐゴシック"/>
            <family val="3"/>
          </rPr>
          <t xml:space="preserve">
</t>
        </r>
      </text>
    </comment>
    <comment ref="E3" authorId="0">
      <text>
        <r>
          <rPr>
            <sz val="12"/>
            <rFont val="ＭＳ Ｐゴシック"/>
            <family val="3"/>
          </rPr>
          <t xml:space="preserve">使用料収入と減免額を合計した額を管理運営コストで割った割合を掲載しています。③＝（④＋⑤）÷⑥
</t>
        </r>
      </text>
    </comment>
    <comment ref="F3" authorId="0">
      <text>
        <r>
          <rPr>
            <sz val="12"/>
            <rFont val="ＭＳ Ｐゴシック"/>
            <family val="3"/>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rFont val="ＭＳ Ｐゴシック"/>
            <family val="3"/>
          </rPr>
          <t xml:space="preserve">
</t>
        </r>
      </text>
    </comment>
    <comment ref="G3" authorId="0">
      <text>
        <r>
          <rPr>
            <sz val="12"/>
            <rFont val="ＭＳ Ｐゴシック"/>
            <family val="3"/>
          </rPr>
          <t>減額・免除、または優遇した額</t>
        </r>
      </text>
    </comment>
    <comment ref="H3" authorId="0">
      <text>
        <r>
          <rPr>
            <sz val="12"/>
            <rFont val="ＭＳ Ｐゴシック"/>
            <family val="3"/>
          </rPr>
          <t>平成23年度の管理運営コストを掲載しています。施設の管理運営に必要な経費だけを掲載し、施設の建設にかかるコストや大規模改修費は含んでいません。</t>
        </r>
      </text>
    </comment>
    <comment ref="K3" authorId="0">
      <text>
        <r>
          <rPr>
            <sz val="12"/>
            <rFont val="ＭＳ Ｐゴシック"/>
            <family val="3"/>
          </rPr>
          <t>複数の料金がある場合は、入場料などの主な料金を記載しています。</t>
        </r>
      </text>
    </comment>
    <comment ref="L3" authorId="0">
      <text>
        <r>
          <rPr>
            <sz val="12"/>
            <rFont val="ＭＳ Ｐゴシック"/>
            <family val="3"/>
          </rPr>
          <t>23年度に減額したり、免除した際に適用した理由の主なものを記載しています。</t>
        </r>
      </text>
    </comment>
    <comment ref="M3" authorId="0">
      <text>
        <r>
          <rPr>
            <sz val="12"/>
            <rFont val="ＭＳ Ｐゴシック"/>
            <family val="3"/>
          </rPr>
          <t>各施設等の収入及びコストを詳しくご覧いただけます。指定管理者制度を導入している施設については、原則として指定管理者が市に提出している収支決算書を用意しています。</t>
        </r>
      </text>
    </comment>
    <comment ref="I4" authorId="0">
      <text>
        <r>
          <rPr>
            <sz val="12"/>
            <rFont val="ＭＳ Ｐゴシック"/>
            <family val="3"/>
          </rPr>
          <t>アルバイト賃金も含んだ額を人件費としています。本市所管課職員の人件費等の間接経費は除いています。また、退職給与引当金は、原則除いています。</t>
        </r>
      </text>
    </comment>
    <comment ref="J4" authorId="0">
      <text>
        <r>
          <rPr>
            <sz val="12"/>
            <rFont val="ＭＳ Ｐゴシック"/>
            <family val="3"/>
          </rPr>
          <t xml:space="preserve">光熱水費、委託料、消耗品など、人件費以外に施設の管理運営に必要な経費を掲載しています。
</t>
        </r>
      </text>
    </comment>
  </commentList>
</comments>
</file>

<file path=xl/sharedStrings.xml><?xml version="1.0" encoding="utf-8"?>
<sst xmlns="http://schemas.openxmlformats.org/spreadsheetml/2006/main" count="1534" uniqueCount="350">
  <si>
    <t>横浜市民防災センター</t>
  </si>
  <si>
    <t>少年自然の家南伊豆臨海学園</t>
  </si>
  <si>
    <t>少年自然の家赤城林間学園</t>
  </si>
  <si>
    <t>横浜市青少年育成センター</t>
  </si>
  <si>
    <t>横浜市野島青少年研修センター</t>
  </si>
  <si>
    <t>こども自然公園青少年野外活動センター</t>
  </si>
  <si>
    <t>横浜こども科学館</t>
  </si>
  <si>
    <t>よこはま動物園</t>
  </si>
  <si>
    <t>金沢動物園</t>
  </si>
  <si>
    <t>野毛山動物園</t>
  </si>
  <si>
    <t>横浜市国際学生会館</t>
  </si>
  <si>
    <t>大黒運動広場（テニスコート）</t>
  </si>
  <si>
    <t>大黒運動広場（運動広場）</t>
  </si>
  <si>
    <t>横浜港大さん橋国際客船ターミナル（大さん橋ホール）</t>
  </si>
  <si>
    <t>人件費</t>
  </si>
  <si>
    <t>物件費等</t>
  </si>
  <si>
    <t>(内訳)</t>
  </si>
  <si>
    <t>主な料金</t>
  </si>
  <si>
    <t>無料</t>
  </si>
  <si>
    <t>多目的ホール460円/１時間
地域ケアルーム・調理室・ボランティアルーム140円/１時間</t>
  </si>
  <si>
    <t>＜障害者及び介護人＞
　６歳以上１３歳未満：1,700円/１泊　　500円/休憩１回
　１３歳以上：2,200円/１泊　　600円/休憩１回
＜その他＞
　６歳以上１３歳未満：3,000円/１泊　900円/休憩１回
　１３歳以上：4,500円/１泊　　1,200円/休憩１回</t>
  </si>
  <si>
    <t>　大人500円　こども250円
＜ボーリング個人利用＞
　大人400円　こども200円</t>
  </si>
  <si>
    <t>400円</t>
  </si>
  <si>
    <t>貸室　1,000円/１日</t>
  </si>
  <si>
    <t>＜入場料を徴収しない場合＞
大ホール    178,000円/１日・土曜・日曜・休日
　　　　　　    152,000円/１日・平日
＜入場料を徴収する場合＞
 大ホール   239,000円～362,000円/１日・土曜・日曜・休日
　　　　　　    202,000円～307,000円/１日・平日</t>
  </si>
  <si>
    <t>＜入館料＞
（個人）大人400円　小人200円
＜宇宙劇場入場料＞
（個人）大人600円　小人300円</t>
  </si>
  <si>
    <t>2,600円/2時間</t>
  </si>
  <si>
    <t>2,200円/2時間</t>
  </si>
  <si>
    <t>大人600円　中・高生300円　小人200円</t>
  </si>
  <si>
    <t>大人500円　中・高生300円　小人200円</t>
  </si>
  <si>
    <t>1,100円/1時間</t>
  </si>
  <si>
    <t>1,300円/1時間</t>
  </si>
  <si>
    <t>大人900円　中学生450円　小学生300円</t>
  </si>
  <si>
    <t>20,000円/１日</t>
  </si>
  <si>
    <t>講堂29,000円/1日
会議室2,000円/1日
和室1,200円/1日</t>
  </si>
  <si>
    <t>墳墓地145,000/㎡(H23.10料金改定)
墓地管理料5,000/1年</t>
  </si>
  <si>
    <t>施設の設置目的</t>
  </si>
  <si>
    <t>市民に対する防災知識の普及を図ることを目的とした施設</t>
  </si>
  <si>
    <t>主な減免事由</t>
  </si>
  <si>
    <t>・教職員に引率された市内の小中学校の児童が教育の目的で利用する場合（全額減免）
・土曜日に小中高生が利用する場合（全額減免）
・身体障害者手帳の交付を受けている方が利用する場合（全額減免）　等</t>
  </si>
  <si>
    <t>音楽芸術活動の振興その他市民文化の振興を図ること</t>
  </si>
  <si>
    <t>・専門教育機関によるオルガン授業利用（全額減免）
・国内オーケストラ定期演奏会誘致（１割減免）　等</t>
  </si>
  <si>
    <t>市内に居住する高齢者等への老人福祉法第20条の7に規定する各種の相談並びに健康の増進、教養の向上及びレクリエーションのための総合的な便宜の供与のため</t>
  </si>
  <si>
    <t>横浜市における作陶活動の拠点施設として、広く市民が陶芸に親しむ機会を提供するとともに、市民の作陶技術向上の支援を行うことにより、陶芸の普及を図るため</t>
  </si>
  <si>
    <t>・身体障害者手帳の交付を受けている者、知的障害との判定を受けた者及び精神障害者保健福祉手帳の交付を受けている者のうち小学校に就学するまでの満3歳以上の子供が利用する場合（５割減免）
・障害者のうち満60歳以上の高齢者又は大人が利用する場合（300円割引）</t>
  </si>
  <si>
    <t>・生活保護法による保護を受けている場合（５割減免）</t>
  </si>
  <si>
    <t>・本市が共催する落語、漫才その他の大衆芸能の公演、講座等のため利用する場合（５割減免）
・指定管理者が主催する行事のため利用する場合（全額減免）</t>
  </si>
  <si>
    <t>・本市が主催し、又は共催する文化的行事その他の集会を行うために利用する場合（５割減免）
・市内の学校等及び社会福祉法人が主催する行事のために利用する場合（３割減免）
・指定管理者が主催する行事のために利用する場合（全額減免）</t>
  </si>
  <si>
    <t>・土曜日に、未就学児、小学生、中学生、高校生が利用する場合（全額減免）
・中学生以下の者が利用する場合（５割減免（優遇料金））</t>
  </si>
  <si>
    <t>・障害のある個人が利用する場合（５割減免）
・障害児・者の介助者が利用する場合（全額減免）
・65歳以上の個人が利用する場合（５割減免）
・中学生以下のこどもが利用する場合（3/4減免（優遇料金））</t>
  </si>
  <si>
    <t>・冬季平日に団体で利用する場合（１割減免）</t>
  </si>
  <si>
    <t>・本市が主催する行事のために利用する場合（全額減免）</t>
  </si>
  <si>
    <t>・本市が主催する行事のために利用する場合（全額減免）
・本市が共催する行事のために利用する場合（５割減免）</t>
  </si>
  <si>
    <t>・本市が主催する行事に利用する場合（全額減免）
・本市が共催する行事に利用する場合（５割減免）
・市内の高校、大学等の正規の教育課程で利用する場合（５割減免）
・障害のある個人及び介助者が利用する場合（５割減免）</t>
  </si>
  <si>
    <t>横浜市スポーツ医科学センター
（トレーニングルーム利用）</t>
  </si>
  <si>
    <t>＜千円以下の入場料を徴収＞
   160,000円/全日・土曜・日曜・休日
　 128,000円/全日・平日
＜千円超の入場料を徴収＞
   240,000円/全日・土曜・日曜・休日
　 192,000円/全日・平日</t>
  </si>
  <si>
    <t>＜入場料無料、入場料２千円以下の場合＞
大ホール    190,000円～421,000円/半日・土曜・日曜・休日
　　　　　　    162,000円～358,000円/半日・平日
＜入場料２千円超の場合＞
 大ホール   254,000円～702,000円/半日・土曜・日曜・休日
　　　　　　    216,000円～597,000円/半日・平日</t>
  </si>
  <si>
    <t>＜入場料を徴収しない場合＞
10,000円/１日・土曜、日曜、休日
 8,500円/１日・平日
＜入場料を徴収する場合＞
17,000円/１日・土曜、日曜、休日
14,500円/１日・平日</t>
  </si>
  <si>
    <t>利用料金
ホール　　　　5,000円/1日
集会施設　　1,300円～3,800円/1日
※入場料等を徴収する場合は２倍の料金</t>
  </si>
  <si>
    <t>プール（個人利用）：一般700円/2時間
　　　　　　　　　　　　　中学生以下350円/2時間
トレーニング室（個人利用）：一般500円/2時間
　　　　　　　　　　　　　　　　　　中学生以下250円/2時間</t>
  </si>
  <si>
    <t xml:space="preserve">第一体育室（団体利用）：3,000円～5,000円/2時間
第二体育室（団体利用）：1,500円～2,500円/2時間
トレーニング室（個人利用）一般300円/1回(3時間）、
　　　　　　　　　　　　　　　　中学生以下100円/1回(3時間）　                                                                                 </t>
  </si>
  <si>
    <t>市内：50,000円　　市外：75,000円</t>
  </si>
  <si>
    <t>研修室1,200/4時間
アートルーム1,600円/4時間</t>
  </si>
  <si>
    <t>＜入場料を徴収しない場合＞
本舞台　　　179,000円/全日・土曜、日曜、休日
　　　　　　　 143,000円/全日・平日
＜入場料を徴収する場合＞
本舞台　 　 269,000円/全日・土曜、日曜、休日
　　　　　　　 215,000円/全日・平日</t>
  </si>
  <si>
    <t>＜入場料を徴収しない場合＞
   33,000円/全日・土曜、日曜、休日
　 27,500円/全日・平日
＜入場料を徴収する場合＞
  　39,500円～46,000円/全日・土曜、日曜、休日
　　33,000円～38,500円/全日・平日</t>
  </si>
  <si>
    <t>第１会議室及び第２会議室　400円/1時間
第３会議室　700円/1時間</t>
  </si>
  <si>
    <t>500,000円/1日・土曜、日曜、休日
400,000円/1日・平日</t>
  </si>
  <si>
    <t>10歳以上・市内：12,000円　　10歳以上・市外：50,000円
＜休憩室＞
　40人用　市内：5,000円、市外：7,500円　　　
  20人用　市内：2,500円、市外：3,750円</t>
  </si>
  <si>
    <t>＜入場料を徴収しない場合＞
展示室1  10,500 円/1日
＜入場料を徴収する場合＞
 展示室1   21,000円/1日</t>
  </si>
  <si>
    <t>岸谷公園プール</t>
  </si>
  <si>
    <t>25ｍプール：100円/１時間
子供用プール：60円/１時間</t>
  </si>
  <si>
    <t>市民の誰もが日常的に相互に支え合い、住み慣れたところで安心して自立した生活が続けられる地域社会の実現に資するため</t>
  </si>
  <si>
    <t>横浜市老人福祉センター
　横浜市鶴寿荘</t>
  </si>
  <si>
    <t>施設名等</t>
  </si>
  <si>
    <t>久保山斎場
　（火葬炉、休憩室）</t>
  </si>
  <si>
    <t>横浜文化体育館
（体育館、トレーニングルーム、レストハウス）</t>
  </si>
  <si>
    <t>横浜市消費生活総合センター（会議室）</t>
  </si>
  <si>
    <t>横浜市技能文化会館（ホール、会議室）</t>
  </si>
  <si>
    <t>横浜市社会福祉センター（ホール、会議室）</t>
  </si>
  <si>
    <t>磯子区民文化センター
（ホール、ギャラリー、練習室等）</t>
  </si>
  <si>
    <t>金沢公会堂 
（講堂、会議室）</t>
  </si>
  <si>
    <t>瀬谷スポーツセンター
（体育室、トレーニング室）</t>
  </si>
  <si>
    <t>横浜国際プール
（屋内プール、多目的ホール等）</t>
  </si>
  <si>
    <t>南部斎場（葬祭ホール）</t>
  </si>
  <si>
    <t>横浜市高齢者保養研修施設ふれーゆ
（プール、大浴場）</t>
  </si>
  <si>
    <t>潮田地域ケアプラザ
（多目的ホール等）</t>
  </si>
  <si>
    <t>男女共同参画センター横浜南
　大研修室　10,400円/1日
　研修室　3,300円/1日
　会議室　2,700円～4,200円/1日　</t>
  </si>
  <si>
    <t>展示会、講演会、研修会その他各種行事の用に供するため</t>
  </si>
  <si>
    <t>港湾関係者がレクリエーション施設として、スポーツに親しみ交流を深めること、並びに施設を通じて横浜市民に港湾を親しみのあるものにすること</t>
  </si>
  <si>
    <t>・絶滅の恐れのある野生動物の保護・繁殖などの「種の保存」
・動物の遺伝子や生理、生態などの「調査・研究」
・自然環境や野生動物に関する「教育普及活動」
・くつろぎや憩いの場として余暇を楽しむための場の提供である「レクリエーション機能」</t>
  </si>
  <si>
    <t>収入及びコストの
詳細資料</t>
  </si>
  <si>
    <t>・本市主催行事等で利用する場合（３割～全額減免）</t>
  </si>
  <si>
    <t>消防局</t>
  </si>
  <si>
    <t>健康福祉局</t>
  </si>
  <si>
    <t>文化観光局</t>
  </si>
  <si>
    <t>教育委員会事務局</t>
  </si>
  <si>
    <t>教育委員会事務局</t>
  </si>
  <si>
    <t>こども青少年局</t>
  </si>
  <si>
    <t>環境創造局</t>
  </si>
  <si>
    <t>港湾局</t>
  </si>
  <si>
    <t>市民局</t>
  </si>
  <si>
    <t>経済局</t>
  </si>
  <si>
    <t>市民局</t>
  </si>
  <si>
    <t>所管局</t>
  </si>
  <si>
    <t>管理運営
コスト
（千円）</t>
  </si>
  <si>
    <t>減免
(千円）</t>
  </si>
  <si>
    <t>使用料等の
収入
(千円）</t>
  </si>
  <si>
    <t>＜宿　泊＞　高校生以下600円　25歳未満1,200円
 　その他2,400円
＜日帰り＞　第１研修室：21,200円/1日
　第２研修室：11,800円/1日　</t>
  </si>
  <si>
    <t>＜個人・プールのみの利用＞
　高齢者500円/2時間　　大人800円/2時間
　子供300円/2時間
＜個人・大浴場のみ利用＞
　高齢者500円/1回　　大人800円/1回
　子供300円/1回</t>
  </si>
  <si>
    <t>-</t>
  </si>
  <si>
    <t>－</t>
  </si>
  <si>
    <t>市民の誰もが地域において健康で安心して生活を営むことができるように、地域における福祉活動、保健活動等の振興を図るとともに、福祉サービス、保健サービス等を身近な場所で総合的に提供するため</t>
  </si>
  <si>
    <t>保養、研修等の場及び機会を提供することにより、高齢者の健康を増進し、社会参加を促進するとともに、高齢者その他の市民相互の交流を図り、もって高齢者の福祉の向上に寄与するため</t>
  </si>
  <si>
    <t>横浜あゆみ荘（障害者研修保養センター）</t>
  </si>
  <si>
    <t>障害者、その家族その他の者(以下「障害者等」という。)が研修、保養、レクリエーション等を通じ、相互の親睦を深めることにより障害者の社会参加の促進及び福祉の増進を図るため</t>
  </si>
  <si>
    <t>スポーツ、文化活動、レクリエーション等を通じて、障害者の社会参加及び福祉の増進並びに障害者、その介護人その他の市民(以下「障害者等」という。)相互の交流を図るため</t>
  </si>
  <si>
    <t>墓地、埋葬等に関する法律(昭和23年法律第48号)に基づく火葬を行うための施設</t>
  </si>
  <si>
    <t>市民に美術文化の創造と普及の場を提供し、市民の福祉の増進及び文化の向上に寄与するため</t>
  </si>
  <si>
    <t>・指定管理者が主催する行事のために利用する場合（全額減免）</t>
  </si>
  <si>
    <t>能、狂言その他の古典芸能(以下「能楽等」という。)の振興を図るため</t>
  </si>
  <si>
    <t>教育に関する専門的、技術的事項の調査研究、教育関係職員の研修等を行うとともに、市民に教養及び文化活動並びに芸術の創造と普及の場を提供し、もって教育の振興及び文化の向上に寄与するため</t>
  </si>
  <si>
    <t>恵まれた自然環境の中での集団宿泊生活、野外活動、自然観察等を通して、体力の向上を図るとともに豊かな情操及び社会性を培い、心身ともに健全な少年を育成するため</t>
  </si>
  <si>
    <t>青少年の健全育成を図るための施設</t>
  </si>
  <si>
    <t>青少年の健全育成を図るための施設</t>
  </si>
  <si>
    <t>屋外における運動その他レクリエーションの提供</t>
  </si>
  <si>
    <t>横浜市下野庭スポーツ会館</t>
  </si>
  <si>
    <t>スポーツ、レクリエーション等の振興を図り、市民の心身の健全な発達に寄与するため</t>
  </si>
  <si>
    <t>・絶滅の恐れのある野生動物の保護・繁殖などの「種の保存」
・動物の遺伝子や生理、生態などの「調査・研究」
・自然環境や野生動物に関する「教育普及活動」
・くつろぎや憩いの場として余暇を楽しむための場の提供である「レクリエーション機能」</t>
  </si>
  <si>
    <r>
      <t>・身体障害者手帳の交付を受けている方等及びその介護者が利用する場合(全額減免）</t>
    </r>
    <r>
      <rPr>
        <strike/>
        <sz val="14"/>
        <rFont val="ＭＳ Ｐゴシック"/>
        <family val="3"/>
      </rPr>
      <t xml:space="preserve">
</t>
    </r>
    <r>
      <rPr>
        <sz val="14"/>
        <rFont val="ＭＳ Ｐゴシック"/>
        <family val="3"/>
      </rPr>
      <t>・教職員に引率された市内の小学校、中学校若しくは高等学校等が教育上の目的で利用する場合（引率する教職員 全額減免、その他の者 5割減免)</t>
    </r>
    <r>
      <rPr>
        <strike/>
        <sz val="14"/>
        <rFont val="ＭＳ Ｐゴシック"/>
        <family val="3"/>
      </rPr>
      <t xml:space="preserve">
</t>
    </r>
    <r>
      <rPr>
        <sz val="14"/>
        <rFont val="ＭＳ Ｐゴシック"/>
        <family val="3"/>
      </rPr>
      <t>・土曜日に小中高生が利用する場合（全額減免）
・団体割引、招待券等の優遇分</t>
    </r>
  </si>
  <si>
    <t>消費者の利益の擁護及び増進を図り、もって市民の安全で快適な消費生活の実現に寄与するため</t>
  </si>
  <si>
    <t>技能職の振興、雇用による就業の機会の確保並びに勤労者の福祉の増進及び文化の向上を図るため</t>
  </si>
  <si>
    <t>多目的ホール　9,800円～19,600円/午前・午後・夜間
会議室（７０１）　800円～1,500円/午前・午後・夜間
※営利目的利用の場合は２倍の料金</t>
  </si>
  <si>
    <t>男女共同参画の推進に関する施策を実施し、並びに市民及び事業者による男女共同参画の推進に関する取組を支援するため、男女共同参画の推進拠点として設置</t>
  </si>
  <si>
    <t>横浜市松見集会所</t>
  </si>
  <si>
    <t>中会議室1,020円/3時間
小会議室480円/3時間
料理室520円/2時間
音楽室780円/3時間
体育室2,190円/3時間</t>
  </si>
  <si>
    <t>落語、漫才その他の大衆芸能(以下「大衆芸能」という。)の振興を図るため</t>
  </si>
  <si>
    <t>地域に根差した個性ある文化の創造に寄与するため</t>
  </si>
  <si>
    <t>＜入場料を徴収しない場合＞
　ホール    47,000円/１日・休日
　　　　　　   40,500円/１日・平日
＜入場料を徴収する場合＞
　 ホール   79,500円/１日・休日
　　　　　     67,500円/１日・平日</t>
  </si>
  <si>
    <t>芸術文化の振興を図り、市民の福祉の増進及び芸術文化の向上に寄与するため</t>
  </si>
  <si>
    <t>スポーツ医科学に基づき、健康状態や体力に応じたスポーツプログラムを提供するとともに、スポーツを疾病の予防及び治療等に役立てることにより、市民の健康づくりの推進、スポーツの振興及び競技選手の競技力の向上を図るため</t>
  </si>
  <si>
    <t>300円/1回・13歳未満
600円/1回・13歳以上</t>
  </si>
  <si>
    <t>500/1回・13歳未満
1,000円/1回・13歳以上</t>
  </si>
  <si>
    <t>市民に安全で快適な海づりの場を提供することにより、市民の余暇の活用及び健康の増進に寄与するため</t>
  </si>
  <si>
    <t>通夜及び告別式を行うため</t>
  </si>
  <si>
    <t>三ツ沢墓地</t>
  </si>
  <si>
    <t>墓地、埋葬等に関する法律(昭和23年法律第48号。以下「法」という。)の規定による埋葬及び焼骨の埋蔵又は収蔵並びに祭しを行うための施設</t>
  </si>
  <si>
    <t>外国人の留学生、研究者等に宿泊施設を提供するとともに、市民の国際理解の増進に寄与するため</t>
  </si>
  <si>
    <t>・本市が主催する行事に利用する場合（全額減免）
・市内の高校、専門学校が正規の教育課程で利用する場合（５割減免）</t>
  </si>
  <si>
    <t>設置当初はごみ焼却工場の建設に伴う近隣住民への地元還元のため。現在はスポーツ・レクリエーション等の振興を図り、市民の心身の健全な発達に寄与するため。</t>
  </si>
  <si>
    <t>宿泊　横浜市民：3,000円/1泊　横浜市民以外：4,000円/1泊
バーデ・ゾーン　500円
ホール　7,000円/13時～17時
ミーティングルーム(中)　4,000円/13時～17時</t>
  </si>
  <si>
    <t>・市内の幼稚園・小学校・中学校が利用する場合（５割減免）
・市内の高校が利用する場合（３割減免）
・指定管理者が主催又は共催する事業に利用する場合（全額減免）
・社会福祉法第２条に規定する社会福祉事業のためにスポーツ、レクリエーション、文化活動等の行事を行う場合（５割減免）</t>
  </si>
  <si>
    <t>表の見方（使用料）</t>
  </si>
  <si>
    <r>
      <rPr>
        <sz val="16"/>
        <rFont val="ＭＳ Ｐゴシック"/>
        <family val="3"/>
      </rPr>
      <t>①</t>
    </r>
    <r>
      <rPr>
        <sz val="14"/>
        <rFont val="ＭＳ Ｐゴシック"/>
        <family val="3"/>
      </rPr>
      <t xml:space="preserve">
所管局</t>
    </r>
  </si>
  <si>
    <r>
      <rPr>
        <sz val="16"/>
        <rFont val="ＭＳ Ｐゴシック"/>
        <family val="3"/>
      </rPr>
      <t>②</t>
    </r>
    <r>
      <rPr>
        <sz val="14"/>
        <rFont val="ＭＳ Ｐゴシック"/>
        <family val="3"/>
      </rPr>
      <t xml:space="preserve">
施設名等</t>
    </r>
  </si>
  <si>
    <r>
      <rPr>
        <sz val="16"/>
        <rFont val="ＭＳ Ｐゴシック"/>
        <family val="3"/>
      </rPr>
      <t>④</t>
    </r>
    <r>
      <rPr>
        <sz val="14"/>
        <rFont val="ＭＳ Ｐゴシック"/>
        <family val="3"/>
      </rPr>
      <t xml:space="preserve">
使用料等の
収入
(千円）</t>
    </r>
  </si>
  <si>
    <r>
      <rPr>
        <sz val="16"/>
        <rFont val="ＭＳ Ｐゴシック"/>
        <family val="3"/>
      </rPr>
      <t>⑤</t>
    </r>
    <r>
      <rPr>
        <sz val="14"/>
        <rFont val="ＭＳ Ｐゴシック"/>
        <family val="3"/>
      </rPr>
      <t xml:space="preserve">
減免
(千円）</t>
    </r>
  </si>
  <si>
    <r>
      <rPr>
        <sz val="16"/>
        <rFont val="ＭＳ Ｐゴシック"/>
        <family val="3"/>
      </rPr>
      <t>⑥</t>
    </r>
    <r>
      <rPr>
        <sz val="14"/>
        <rFont val="ＭＳ Ｐゴシック"/>
        <family val="3"/>
      </rPr>
      <t xml:space="preserve">
管理運営
コスト
（千円）</t>
    </r>
  </si>
  <si>
    <r>
      <rPr>
        <sz val="16"/>
        <rFont val="ＭＳ Ｐゴシック"/>
        <family val="3"/>
      </rPr>
      <t>⑨</t>
    </r>
    <r>
      <rPr>
        <sz val="14"/>
        <rFont val="ＭＳ Ｐゴシック"/>
        <family val="3"/>
      </rPr>
      <t xml:space="preserve">
主な料金</t>
    </r>
  </si>
  <si>
    <r>
      <rPr>
        <sz val="16"/>
        <rFont val="ＭＳ Ｐゴシック"/>
        <family val="3"/>
      </rPr>
      <t>⑩</t>
    </r>
    <r>
      <rPr>
        <sz val="14"/>
        <rFont val="ＭＳ Ｐゴシック"/>
        <family val="3"/>
      </rPr>
      <t xml:space="preserve">
主な減免事由</t>
    </r>
  </si>
  <si>
    <r>
      <rPr>
        <sz val="16"/>
        <rFont val="ＭＳ Ｐゴシック"/>
        <family val="3"/>
      </rPr>
      <t>⑪</t>
    </r>
    <r>
      <rPr>
        <sz val="14"/>
        <rFont val="ＭＳ Ｐゴシック"/>
        <family val="3"/>
      </rPr>
      <t xml:space="preserve">
収入及びコストの
詳細資料</t>
    </r>
  </si>
  <si>
    <r>
      <rPr>
        <sz val="16"/>
        <rFont val="ＭＳ Ｐゴシック"/>
        <family val="3"/>
      </rPr>
      <t>⑦</t>
    </r>
    <r>
      <rPr>
        <sz val="14"/>
        <rFont val="ＭＳ Ｐゴシック"/>
        <family val="3"/>
      </rPr>
      <t xml:space="preserve">
人件費</t>
    </r>
  </si>
  <si>
    <r>
      <rPr>
        <sz val="16"/>
        <rFont val="ＭＳ Ｐゴシック"/>
        <family val="3"/>
      </rPr>
      <t>⑧</t>
    </r>
    <r>
      <rPr>
        <sz val="14"/>
        <rFont val="ＭＳ Ｐゴシック"/>
        <family val="3"/>
      </rPr>
      <t xml:space="preserve">
物件費等</t>
    </r>
  </si>
  <si>
    <t>●●局</t>
  </si>
  <si>
    <t>●●センター</t>
  </si>
  <si>
    <t>●●●のため</t>
  </si>
  <si>
    <t>●％</t>
  </si>
  <si>
    <t>●,●●●</t>
  </si>
  <si>
    <t>●●</t>
  </si>
  <si>
    <t>●,●●●</t>
  </si>
  <si>
    <t>●●円／１時間</t>
  </si>
  <si>
    <t>●●として利用する場合（全額減免）</t>
  </si>
  <si>
    <t>①所管局</t>
  </si>
  <si>
    <t>原則として、施設の設置条例を所管する局を記載しています。</t>
  </si>
  <si>
    <t>②施設名等</t>
  </si>
  <si>
    <t>「市民利用施設等の利用者負担の考え方」に該当する施設を掲載しています。なお、複数館ある施設については、代表的な１館を掲載しています。</t>
  </si>
  <si>
    <t>使用料収入と減免額を合計した額を管理運営コストで割った割合を掲載しています。③＝（④＋⑤）÷⑥</t>
  </si>
  <si>
    <t>④使用料等収入</t>
  </si>
  <si>
    <t>なお、講座などの自主企画事業の実費等は含んでいません。また、少年自然の家、青少年野外活動施設は、宿泊に係るシーツ代等の実費を使用料等収入に計上しています。</t>
  </si>
  <si>
    <t>⑤減免</t>
  </si>
  <si>
    <t>減額・免除、または優遇した額</t>
  </si>
  <si>
    <t>⑥管理運営コスト</t>
  </si>
  <si>
    <t>⑦人件費</t>
  </si>
  <si>
    <t>アルバイト賃金も含んだ額を人件費としています。本市所管課職員の人件費等の間接経費は除いています。また、退職給与引当金は、原則除いています。</t>
  </si>
  <si>
    <t>⑧物件費等</t>
  </si>
  <si>
    <t>光熱水費、委託料、消耗品など、人件費以外に施設の管理運営に必要な経費を掲載しています。</t>
  </si>
  <si>
    <t>⑨主な料金</t>
  </si>
  <si>
    <t>複数の料金がある場合は、入場料などの主な料金を記載しています。</t>
  </si>
  <si>
    <t>⑪収入及びコストの詳細資料</t>
  </si>
  <si>
    <t>海づり施設（磯子、大黒、本牧の合計）</t>
  </si>
  <si>
    <t>・公共的団体を主な構成員とする実行委員会が利用する場合（全額減免）</t>
  </si>
  <si>
    <t>・横浜市が主催し、若しくは共催し、又は指定管理者が共催する下記事業のために利用する場合（全額減免）
　・障害者のためのスポーツ教室、スポーツ大会等の開催及びスポーツ指導者の育成
　・リハビリテーションスポーツの実施
　・障害者の自主的な文化活動を促進するための事業
　・障害者のスポーツ、文化活動、レクリエーション等に関する相談及び情報の提供
・障害者、介助者、未就学児が利用する場合（全額減免）
・障害者がボーリングを利用する場合（５割減免）</t>
  </si>
  <si>
    <t>踊場地区センター　※
（会議室、体育室等）</t>
  </si>
  <si>
    <t>長浜野口記念公園の集会施設（長浜ホール）　※※</t>
  </si>
  <si>
    <t>大倉山記念館　※※
（ホール、会議室）</t>
  </si>
  <si>
    <t>横浜市陶芸センター　※※</t>
  </si>
  <si>
    <t>横浜市民ギャラリーあざみ野　※※</t>
  </si>
  <si>
    <t>横浜能楽堂　※※</t>
  </si>
  <si>
    <t>久良岐能舞台　※※</t>
  </si>
  <si>
    <t>芸能センター（横浜にぎわい座）　※※</t>
  </si>
  <si>
    <t>関内ホール　※※</t>
  </si>
  <si>
    <t>みなとみらいホール　※※
（ホール、練習室等）</t>
  </si>
  <si>
    <t>〈体育館〉
入場料を徴収しない場合    16,100円～191,500円/１日
入場料を徴収する場合     223,400円～750,000円/１日
〈平沼記念レストハウス〉
　　　　　会議室　　　　　　　　　5,400円～8,000円/１日</t>
  </si>
  <si>
    <t>社会福祉を目的とする市民の交流及び活動の場を提供し、市民の福祉意識の高揚と主体的な福祉活動の推進を図るため</t>
  </si>
  <si>
    <t>福祉・保健従事者・活動者に対して研修の実施、情報の提供等を行い、交流の場を提供することにより、福祉・保健活動等の推進に必要な人材の養成及び確保を図るため</t>
  </si>
  <si>
    <t>・指定管理者が主催・共催する行事のために利用する場合（全額減免）</t>
  </si>
  <si>
    <t>・指定管理者が主催又は共催する事業に利用する場合(全額･5割減免）</t>
  </si>
  <si>
    <t>・本市が主催する体育行事のために利用する場合（全額減免）</t>
  </si>
  <si>
    <t>－</t>
  </si>
  <si>
    <t>個人：130円/1時間
団体貸切：平日午前2,700円、平日午後4,200円
　　　　　　　日曜休日午前4,200円、日曜休日午後6,600円</t>
  </si>
  <si>
    <t>台町公園野球場　　※※※</t>
  </si>
  <si>
    <t>東俣野中央公園運動広場　※※※</t>
  </si>
  <si>
    <t>・障害のある個人及び介助者が利用する場合（５割減免）</t>
  </si>
  <si>
    <t>・本市が主催する行事に利用する場合（全額減免）
 ・本市が共催する行事に利用する場合（５割減免）
 ・市内の高校、大学等の正規の教育課程で利用する場合（５割減免）
 ・障害のある個人及び介助者が利用する場合（５割減免）</t>
  </si>
  <si>
    <t>資料</t>
  </si>
  <si>
    <t>・本市が主催する行事に利用する場合(全額減免）
・指定管理者が主催する行事等に利用する場合（全額減免）</t>
  </si>
  <si>
    <t>・地方公共団体及び公共的団体が利用する場合（５割減免）
・指定管理者が必要と認める場合（全額減免）</t>
  </si>
  <si>
    <t>＜第１研修室＞
　青少年（25歳未満）：無料
　青少年指導者・育成者：300円/1コマ・日曜・休日
　一般：2,400円/1コマ・日曜・休日
＜第２研修室＞
　青少年（25歳未満）：無料
　青少年指導者・育成者：200円/1コマ・日曜・休日
　一般：950円/1コマ・日曜・休日</t>
  </si>
  <si>
    <t>・本市が主催する青少年の育成等に関する事業（全額減免）
・青少年以外が特定の目的に供する場合（89％減免等）</t>
  </si>
  <si>
    <t>＜多目的利用室＞
　青少年（25歳未満）：無料
　青少年指導者・育成者：150円/１コマ
　一般：800円/１コマ</t>
  </si>
  <si>
    <t>・本市が主催する青少年の交流等に関する事業（全額減免）
・青少年以外が特定の目的に供する場合（89％減免等）</t>
  </si>
  <si>
    <t>・本市が主催する青少年の育成等に関する事業（日帰り利用の場合)(全額減免）
・青少年関係団体等が実施する青少年の育成等に関する事業（日帰り利用の場合)(５割減免）</t>
  </si>
  <si>
    <t>＜施設使用料＞
　無料
＜実費負担＞
　光熱水費　300円/1泊（一般・市外利用者のみ）
  シーツクリーニング代　270円/1枚
　薪　400円/1束</t>
  </si>
  <si>
    <t>青少年の科学技術に対する理解と知識を深めるための施設</t>
  </si>
  <si>
    <t>　ホール　4,500円～24,000円/1コマ
　大会議室　800円～1,600円/１室・１コマ
　小会議室　400円～800円/１室・１コマ</t>
  </si>
  <si>
    <t>・横浜市が社会福祉の目的のために利用する場合（全額減免）
・他の地方公共団体、社会福祉法人その他公益を目的とする団体が社会福祉の目的のために利用する場合及び横浜市が社会福祉目的の目的以外のために利用する場合（５割減免）</t>
  </si>
  <si>
    <t>一般：2,100円～29,000円/１室・１コマ
福祉保健活動従事者：500円～7,800円/１室・１コマ</t>
  </si>
  <si>
    <t>・本市が条例第２条第１号から第３号までに掲げる事業に利用する場合（減免額は市長の承認を得て指定管理者が定める）</t>
  </si>
  <si>
    <t>施設使用料　無料
実費負担
　光熱水費  200円/1泊                                            
  シーツクリーニング代　260円/１枚
　薪　300円/1束</t>
  </si>
  <si>
    <t>施設使用料　無料
実費負担
　光熱水費　250円/1泊
　シーツクリーニング代　280円/1枚
　薪　350円/1束</t>
  </si>
  <si>
    <t>単身室：20,000円/1月　　700円/1日
家族室：30,000円/1月　　1,000円/1日
研究者室：35,000/1月　　1,200円/1日
臨時宿泊室：3,500円/1日</t>
  </si>
  <si>
    <t>横浜市の青少年に自然環境における共同生活の場を提供することにより、その心身の健全な発達を図るための施設</t>
  </si>
  <si>
    <t>⑩主な減免事由</t>
  </si>
  <si>
    <t>使用料、利用料金の収入金額を掲載しています。使用料等収入には、目的外使用料（本市の行政財産をその用途又は目的を妨げない限度において使用許可する場合の使用料。(例)自動販売機の設置)も含んでいます。</t>
  </si>
  <si>
    <t>市民の集会その他各種行事の用に供する目的をもって設置</t>
  </si>
  <si>
    <t>地域住民が、自らの生活環境の向上のために自主的に活動し、及びスポーツ、レクリエーション、クラブ活動等を通じて相互の交流を深めることのできる場として設置</t>
  </si>
  <si>
    <t>青少年の野外活動体験や様々な年齢層の市民が交流する場として設置</t>
  </si>
  <si>
    <t>地域における文化活動の拠点として設置</t>
  </si>
  <si>
    <t>横浜市民の財産である歴史的建造物及び有形文化財としての施設を適正に保存するとともに、地域における文化活動の拠点として設置</t>
  </si>
  <si>
    <t>山手公園庭球場（テニスコート）　※※※</t>
  </si>
  <si>
    <t>常盤公園弓道場</t>
  </si>
  <si>
    <t>公共の福祉の増進</t>
  </si>
  <si>
    <t>主な施設の現状のコストと使用料の状況（平成24年度決算）</t>
  </si>
  <si>
    <t>利用者負担割合
(24年度決算)</t>
  </si>
  <si>
    <t>潮田公園コミュニティハウス　※</t>
  </si>
  <si>
    <t>男女共同参画センター横浜南（ホール、会議室等）　※</t>
  </si>
  <si>
    <t>横浜市青少年交流センター　※</t>
  </si>
  <si>
    <t>障害者スポーツ文化センター横浜ラポール　※</t>
  </si>
  <si>
    <t>福祉保健研修交流センターウィリング横浜(研修室、和室、実習室)　※</t>
  </si>
  <si>
    <t>主な施設の現状のコストと使用料の状況（平成25年度決算）</t>
  </si>
  <si>
    <t>利用者負担割合
(25年度決算)</t>
  </si>
  <si>
    <t>横浜市平沼記念体育館　※</t>
  </si>
  <si>
    <t>金井公園野球場　　※※※</t>
  </si>
  <si>
    <t>清水ヶ丘公園運動広場　※※※</t>
  </si>
  <si>
    <t>金井公園庭球場（テニスコート）　※※※</t>
  </si>
  <si>
    <t>横浜市社会教育コーナー（研修室等）　※</t>
  </si>
  <si>
    <t>スポーツ、レクリエーション等の振興を図り、市民の心身の健全な発達に寄与するため</t>
  </si>
  <si>
    <r>
      <rPr>
        <sz val="16"/>
        <rFont val="ＭＳ Ｐゴシック"/>
        <family val="3"/>
      </rPr>
      <t>③</t>
    </r>
    <r>
      <rPr>
        <sz val="14"/>
        <rFont val="ＭＳ Ｐゴシック"/>
        <family val="3"/>
      </rPr>
      <t xml:space="preserve">
利用者負担割合
(○年度決算)</t>
    </r>
  </si>
  <si>
    <t>減額したり、免除した際に適用した理由の主なものを記載しています。</t>
  </si>
  <si>
    <t>余熱利用プール　（23年度決算）
　旭プール</t>
  </si>
  <si>
    <t>横浜市民ふれあいの里　「上郷・森の家」
（宿泊、バーデ・ゾーン、ホール等）
（23年度決算）</t>
  </si>
  <si>
    <t>横浜市社会福祉センター（ホール、会議室）※</t>
  </si>
  <si>
    <t>金沢区福祉保健活動拠点　※</t>
  </si>
  <si>
    <t>横浜市スポーツ医科学センター　※</t>
  </si>
  <si>
    <t>新鶴見小コミュニティハウス　※</t>
  </si>
  <si>
    <t>横浜市スポーツ医科学センター　※</t>
  </si>
  <si>
    <t>各施設等の収入及びコストを詳しくご覧いただけます。</t>
  </si>
  <si>
    <t>当該年度の管理運営コストを掲載しています。施設の管理運営に必要な経費だけを掲載し、施設の建設にかかるコストや大規模改修費は含んでいません。</t>
  </si>
  <si>
    <t>主な施設の現状のコストと使用料の状況（平成23年度決算）</t>
  </si>
  <si>
    <t>利用者負担割合
(23年度決算)</t>
  </si>
  <si>
    <t>スポーツ、レクリエーション等の振興を図り、市民の心身の健全な発達に寄与するため</t>
  </si>
  <si>
    <t>・本市が主催する体育行事のために利用する場合（全額減免）</t>
  </si>
  <si>
    <t>横浜市平沼記念体育館</t>
  </si>
  <si>
    <t>・本市が主催する行事に利用する場合（全額減免）
・市内の高校、専門学校が正規の教育課程で利用する場合（５割減免）</t>
  </si>
  <si>
    <t>横浜市下野庭スポーツ会館</t>
  </si>
  <si>
    <t>-</t>
  </si>
  <si>
    <t>－</t>
  </si>
  <si>
    <t>男女共同参画センター横浜南（ホール、会議室等）</t>
  </si>
  <si>
    <t>男女共同参画の推進に関する施策を実施し、並びに市民及び事業者による男女共同参画の推進に関する取組を支援するため、男女共同参画の推進拠点として設置</t>
  </si>
  <si>
    <t>潮田公園コミュニティハウス</t>
  </si>
  <si>
    <t>余熱利用プール
　旭プール</t>
  </si>
  <si>
    <t>設置当初はごみ焼却工場の建設に伴う近隣住民への地元還元のため。現在はスポーツ・レクリエーション等の振興を図り、市民の心身の健全な発達に寄与するため。</t>
  </si>
  <si>
    <t>横浜市民ふれあいの里　「上郷・森の家」
（宿泊、バーデ・ゾーン、ホール等）</t>
  </si>
  <si>
    <t>＜入場料を徴収しない場合＞
　ホール    47,000円/１日・休日
　　　　　　   40,500円/１日・平日
＜入場料を徴収する場合＞
　 ホール   79,500円/１日・休日
　　　　　     67,500円/１日・平日</t>
  </si>
  <si>
    <t>・指定管理者が主催する行事のために利用する場合（全額減免）</t>
  </si>
  <si>
    <t>横浜市陶芸センター　※※</t>
  </si>
  <si>
    <t>－</t>
  </si>
  <si>
    <t>市民に美術文化の創造と普及の場を提供し、市民の福祉の増進及び文化の向上に寄与するため</t>
  </si>
  <si>
    <t>・指定管理者が主催する行事のために利用する場合（全額減免）</t>
  </si>
  <si>
    <t>横浜能楽堂　※※</t>
  </si>
  <si>
    <t>能、狂言その他の古典芸能(以下「能楽等」という。)の振興を図るため</t>
  </si>
  <si>
    <t>久良岐能舞台　※※</t>
  </si>
  <si>
    <t>能、狂言その他の古典芸能(以下「能楽等」という。)の振興を図るため</t>
  </si>
  <si>
    <t>消費者の利益の擁護及び増進を図り、もって市民の安全で快適な消費生活の実現に寄与するため</t>
  </si>
  <si>
    <t>横浜市青少年交流センター</t>
  </si>
  <si>
    <t>障害者スポーツ文化センター横浜ラポール</t>
  </si>
  <si>
    <t>金沢区福祉保健活動拠点</t>
  </si>
  <si>
    <t>福祉保健研修交流センターウィリング横浜(研修室、和室、実習室)</t>
  </si>
  <si>
    <t>横浜市スポーツ医科学センター
（25ｍプール利用）</t>
  </si>
  <si>
    <t>横浜市社会教育コーナー（研修室等）</t>
  </si>
  <si>
    <t>新鶴見小コミュニティハウス</t>
  </si>
  <si>
    <t>政策局</t>
  </si>
  <si>
    <t>大人600円　高校生・中人300円　小・中学生200円</t>
  </si>
  <si>
    <t>大人500円　高校生・中人300円　小・中学生200円</t>
  </si>
  <si>
    <t>＜通常利用（福祉保健活動）＞
　無料
＜目的外使用＞
　多目的ホール460円/１時間
　地域ケアルーム・調理室・ボランティアルーム140円/１時間</t>
  </si>
  <si>
    <t>＜プール＞
300円/1回・13歳未満
600円/1回・13歳以上
＜トレーニングルーム＞
500/1回・13歳未満
1,000円/1回・13歳以上</t>
  </si>
  <si>
    <t>横浜市社会福祉センター（ホール、会議室）　※</t>
  </si>
  <si>
    <t>磯子区民文化センター
（ホール、ギャラリー、練習室等）　※</t>
  </si>
  <si>
    <t>長浜野口記念公園の集会施設（長浜ホール）　※、※※</t>
  </si>
  <si>
    <t>ホール
＜入場料を徴収しない場合＞
10,000円/１日・土曜、日曜、休日
 8,500円/１日・平日
＜入場料を徴収する場合＞
17,000円/１日・土曜、日曜、休日
14,500円/１日・平日</t>
  </si>
  <si>
    <t>芸能センター（横浜にぎわい座）　※、※※</t>
  </si>
  <si>
    <t>第１会議室及び第２会議室　
（１）平日 
 　①1,000円/3時間(9～12時、13～16時)
 　②2,000円/3時間(16～19時)
（２）土曜日
　 ①1,200円/3時間(9～12時)
 　②2,000円/4時間(13～17時)
第３会議室　
（１）平日 
 　①2,000円/3時間(9～12時、13～16時)
 　②3,000円/3時間(16～19時)
（２）土曜日 
 　①2,400円/3時間(9～12時)
 　②3,200円/4時間(13～17時)</t>
  </si>
  <si>
    <t>-</t>
  </si>
  <si>
    <t>-</t>
  </si>
  <si>
    <t>-</t>
  </si>
  <si>
    <t>潮田地域ケアプラザ
（多目的ホール等目的外使用分）</t>
  </si>
  <si>
    <t>横浜市スポーツ医科学センター
（トレーニングルーム分も上記で表記）</t>
  </si>
  <si>
    <t>-</t>
  </si>
  <si>
    <t>-</t>
  </si>
  <si>
    <t>横浜市消費生活総合センター（会議室）　※</t>
  </si>
  <si>
    <t>芸能センター（横浜にぎわい座）　※、※※</t>
  </si>
  <si>
    <t>横浜市国際学生会館　※</t>
  </si>
  <si>
    <t>横浜市技能文化会館（ホール、会議室）　※</t>
  </si>
  <si>
    <t>大人500円　高校生・中人300円　小・中学生200円</t>
  </si>
  <si>
    <r>
      <t xml:space="preserve">＜入場料を徴収しない場合＞
   33,000円/全日・土曜、日曜、休日
　 27,500円/全日・平日
</t>
    </r>
    <r>
      <rPr>
        <sz val="14"/>
        <color indexed="10"/>
        <rFont val="ＭＳ Ｐゴシック"/>
        <family val="3"/>
      </rPr>
      <t>＜入場料を徴収する場合＞</t>
    </r>
    <r>
      <rPr>
        <sz val="14"/>
        <rFont val="ＭＳ Ｐゴシック"/>
        <family val="3"/>
      </rPr>
      <t xml:space="preserve">
  　39,500円～46,000円/全日・土曜、日曜、休日
　　33,000円～38,500円/全日・平日</t>
    </r>
  </si>
  <si>
    <t>利用者負担割合
(26年度決算)</t>
  </si>
  <si>
    <t>主な施設の現状のコストと使用料の状況（平成26年度決算）</t>
  </si>
  <si>
    <t>③利用者負担割合（26年度決算）</t>
  </si>
  <si>
    <t>旭プール（余熱利用プール）</t>
  </si>
  <si>
    <t>本牧・大黒　大人900円　中学生450円　小学生300円
磯子　　　　 大人500円　小中学生350円</t>
  </si>
  <si>
    <t>能、狂言その他の古典芸能の振興を図るため</t>
  </si>
  <si>
    <t>落語、漫才その他の大衆芸能の振興を図るため</t>
  </si>
  <si>
    <t>音楽の鑑賞、想像等音楽芸術活動の振興と音楽を通じた国際文化交流の促進その他市民文化の振興を図るため</t>
  </si>
  <si>
    <t>＜プール＞
300円/1回・13歳未満
600円/1回・13歳以上
＜トレーニングルーム＞
1,000円/1回・13歳以上</t>
  </si>
  <si>
    <t>施設使用料　無料
実費負担
　光熱水費 210円/1泊                                            
  シーツクリーニング代　270円/１枚
　薪　310円/1束</t>
  </si>
  <si>
    <t>施設使用料　無料
実費負担
　光熱水費　260円/1泊
　シーツクリーニング代　290円/1枚
　薪　360円/1束</t>
  </si>
  <si>
    <t>-</t>
  </si>
  <si>
    <t>・本市が主催、共催する行事に利用する場合（全額減免）
・本市が後援する行事に利用する場合（５割減免）
・市内の高校、大学等の正規の教育課程で利用する場合（５割減免）
・障害のある個人及び介助者が利用する場合（５割減免）</t>
  </si>
  <si>
    <t>・本市が主催、共催する行事に利用する場合（全額減免）
 ・本市が後援する行事に利用する場合（５割減免）
 ・市内の高校、大学等の正規の教育課程で利用する場合（５割減免）
 ・障害のある個人及び介助者が利用する場合（５割減免）</t>
  </si>
  <si>
    <t>大黒運動広場</t>
  </si>
  <si>
    <t>横浜あゆみ荘（障害者研修保養センター）　※</t>
  </si>
  <si>
    <t>-</t>
  </si>
  <si>
    <t>横浜市野島青少年研修センター　※</t>
  </si>
  <si>
    <t>金沢動物園 ※</t>
  </si>
  <si>
    <t>横浜市松見集会所　※</t>
  </si>
  <si>
    <t>-</t>
  </si>
  <si>
    <t>大黒運動広場
（テニスコート分も上記で表記）</t>
  </si>
  <si>
    <t>＜運動広場＞
1,300円/1時間
＜テニスコート＞
1,100円/1時間</t>
  </si>
  <si>
    <t>金井公園野球場　※※※</t>
  </si>
  <si>
    <t>横浜市高齢者保養研修施設ふれーゆ
（プール、大浴場）　</t>
  </si>
  <si>
    <t>横浜市民ふれあいの里　「上郷・森の家」
（宿泊、バーデ・ゾーン、ホール等）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</si>
</sst>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0.0%"/>
  </numFmts>
  <fonts count="57">
    <font>
      <sz val="11"/>
      <name val="ＭＳ Ｐゴシック"/>
      <family val="3"/>
    </font>
    <font>
      <sz val="11"/>
      <color indexed="8"/>
      <name val="ＭＳ Ｐゴシック"/>
      <family val="3"/>
    </font>
    <font>
      <sz val="16"/>
      <name val="HG創英角ﾎﾟｯﾌﾟ体"/>
      <family val="3"/>
    </font>
    <font>
      <sz val="6"/>
      <name val="ＭＳ Ｐゴシック"/>
      <family val="3"/>
    </font>
    <font>
      <sz val="12"/>
      <name val="ＭＳ Ｐゴシック"/>
      <family val="3"/>
    </font>
    <font>
      <sz val="14"/>
      <name val="ＭＳ Ｐゴシック"/>
      <family val="3"/>
    </font>
    <font>
      <sz val="16"/>
      <name val="ＭＳ Ｐゴシック"/>
      <family val="3"/>
    </font>
    <font>
      <sz val="12"/>
      <name val="HG創英角ﾎﾟｯﾌﾟ体"/>
      <family val="3"/>
    </font>
    <font>
      <strike/>
      <sz val="14"/>
      <name val="ＭＳ Ｐゴシック"/>
      <family val="3"/>
    </font>
    <font>
      <u val="single"/>
      <sz val="5.5"/>
      <color indexed="12"/>
      <name val="ＭＳ Ｐゴシック"/>
      <family val="3"/>
    </font>
    <font>
      <sz val="14"/>
      <name val="HG創英角ﾎﾟｯﾌﾟ体"/>
      <family val="3"/>
    </font>
    <font>
      <sz val="9"/>
      <name val="ＭＳ Ｐゴシック"/>
      <family val="3"/>
    </font>
    <font>
      <sz val="18"/>
      <name val="HG創英角ﾎﾟｯﾌﾟ体"/>
      <family val="3"/>
    </font>
    <font>
      <b/>
      <sz val="9"/>
      <name val="ＭＳ Ｐゴシック"/>
      <family val="3"/>
    </font>
    <font>
      <b/>
      <sz val="22"/>
      <name val="ＭＳ Ｐゴシック"/>
      <family val="3"/>
    </font>
    <font>
      <sz val="22"/>
      <name val="ＭＳ Ｐゴシック"/>
      <family val="3"/>
    </font>
    <font>
      <sz val="14"/>
      <color indexed="10"/>
      <name val="ＭＳ Ｐゴシック"/>
      <family val="3"/>
    </font>
    <font>
      <sz val="16"/>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6"/>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83">
    <xf numFmtId="0" fontId="0" fillId="0" borderId="0" xfId="0" applyAlignment="1">
      <alignment vertical="center"/>
    </xf>
    <xf numFmtId="0" fontId="5" fillId="0" borderId="10" xfId="0" applyFont="1" applyFill="1" applyBorder="1" applyAlignment="1">
      <alignment horizontal="left" vertical="center" wrapText="1"/>
    </xf>
    <xf numFmtId="9" fontId="6" fillId="0" borderId="10" xfId="42" applyFont="1" applyFill="1" applyBorder="1" applyAlignment="1">
      <alignment horizontal="center" vertical="center"/>
    </xf>
    <xf numFmtId="38" fontId="6" fillId="0" borderId="10" xfId="49" applyFont="1" applyFill="1" applyBorder="1" applyAlignment="1">
      <alignment horizontal="right" vertical="center"/>
    </xf>
    <xf numFmtId="38" fontId="6" fillId="0" borderId="10" xfId="49" applyFont="1" applyFill="1" applyBorder="1" applyAlignment="1">
      <alignment horizontal="right" vertical="center" shrinkToFit="1"/>
    </xf>
    <xf numFmtId="0" fontId="0" fillId="0" borderId="0" xfId="0" applyFill="1" applyAlignment="1">
      <alignment horizontal="center" vertical="center" shrinkToFit="1"/>
    </xf>
    <xf numFmtId="0" fontId="0" fillId="0" borderId="0" xfId="0" applyAlignment="1">
      <alignment horizontal="left" vertical="center" shrinkToFit="1"/>
    </xf>
    <xf numFmtId="0" fontId="0" fillId="0" borderId="0" xfId="0" applyAlignment="1">
      <alignment horizontal="center" vertical="center" shrinkToFit="1"/>
    </xf>
    <xf numFmtId="9" fontId="0" fillId="0" borderId="0" xfId="42" applyFont="1" applyAlignment="1">
      <alignment vertical="center"/>
    </xf>
    <xf numFmtId="9" fontId="0" fillId="0" borderId="0" xfId="42" applyFont="1" applyFill="1" applyAlignment="1">
      <alignment vertical="center"/>
    </xf>
    <xf numFmtId="38" fontId="0" fillId="0" borderId="0" xfId="49" applyFont="1" applyAlignment="1">
      <alignment vertical="center"/>
    </xf>
    <xf numFmtId="38" fontId="4" fillId="0" borderId="0" xfId="49" applyFont="1" applyAlignment="1">
      <alignment vertical="center"/>
    </xf>
    <xf numFmtId="0" fontId="5" fillId="0" borderId="10" xfId="0" applyFont="1" applyFill="1" applyBorder="1" applyAlignment="1">
      <alignment horizontal="left" vertical="center" wrapText="1" shrinkToFit="1"/>
    </xf>
    <xf numFmtId="0" fontId="2" fillId="0" borderId="0" xfId="0" applyFont="1" applyBorder="1" applyAlignment="1">
      <alignment horizontal="left" vertical="center" wrapText="1"/>
    </xf>
    <xf numFmtId="0" fontId="7" fillId="0" borderId="0" xfId="0" applyFont="1" applyBorder="1" applyAlignment="1">
      <alignment vertical="center" wrapText="1"/>
    </xf>
    <xf numFmtId="0" fontId="2" fillId="0" borderId="0" xfId="0" applyFont="1" applyBorder="1" applyAlignment="1">
      <alignment horizontal="left" vertical="center"/>
    </xf>
    <xf numFmtId="0" fontId="5" fillId="0" borderId="10" xfId="0" applyFont="1" applyFill="1" applyBorder="1" applyAlignment="1">
      <alignment horizontal="center" vertical="center" shrinkToFit="1"/>
    </xf>
    <xf numFmtId="38" fontId="5" fillId="0" borderId="10" xfId="49" applyFont="1" applyFill="1" applyBorder="1" applyAlignment="1">
      <alignment vertical="center"/>
    </xf>
    <xf numFmtId="38" fontId="5" fillId="0" borderId="10" xfId="49" applyFont="1" applyFill="1" applyBorder="1" applyAlignment="1">
      <alignment vertical="center" wrapTex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38" fontId="5" fillId="33" borderId="13" xfId="49" applyFont="1" applyFill="1" applyBorder="1" applyAlignment="1">
      <alignment horizontal="center" vertical="center"/>
    </xf>
    <xf numFmtId="38" fontId="5" fillId="0" borderId="10" xfId="49" applyFont="1" applyFill="1" applyBorder="1" applyAlignment="1">
      <alignment horizontal="left" vertical="center" wrapText="1"/>
    </xf>
    <xf numFmtId="38" fontId="5" fillId="0" borderId="10" xfId="49" applyFont="1" applyFill="1" applyBorder="1" applyAlignment="1">
      <alignment horizontal="left" vertical="center" wrapText="1" shrinkToFit="1"/>
    </xf>
    <xf numFmtId="38" fontId="5" fillId="0" borderId="10" xfId="49" applyFont="1" applyFill="1" applyBorder="1" applyAlignment="1">
      <alignment horizontal="left" vertical="center"/>
    </xf>
    <xf numFmtId="38" fontId="5" fillId="0" borderId="10" xfId="49" applyFont="1" applyFill="1" applyBorder="1" applyAlignment="1">
      <alignment horizontal="left" vertical="center" shrinkToFit="1"/>
    </xf>
    <xf numFmtId="0" fontId="10" fillId="0" borderId="0" xfId="0" applyFont="1" applyBorder="1" applyAlignment="1">
      <alignment horizontal="center" vertical="center" wrapText="1"/>
    </xf>
    <xf numFmtId="38" fontId="5" fillId="0" borderId="0" xfId="49" applyFont="1" applyAlignment="1">
      <alignment horizontal="center" vertical="center"/>
    </xf>
    <xf numFmtId="38" fontId="5" fillId="33" borderId="13" xfId="49" applyFont="1" applyFill="1" applyBorder="1" applyAlignment="1">
      <alignment horizontal="centerContinuous" vertical="center"/>
    </xf>
    <xf numFmtId="38" fontId="5" fillId="33" borderId="14" xfId="49" applyFont="1" applyFill="1" applyBorder="1" applyAlignment="1">
      <alignment horizontal="centerContinuous" vertical="center"/>
    </xf>
    <xf numFmtId="0" fontId="12" fillId="0" borderId="0" xfId="0" applyFont="1" applyBorder="1" applyAlignment="1">
      <alignment horizontal="left" vertical="center"/>
    </xf>
    <xf numFmtId="38" fontId="5" fillId="33" borderId="13" xfId="49" applyFont="1" applyFill="1" applyBorder="1" applyAlignment="1">
      <alignment horizontal="center" vertical="center" wrapText="1"/>
    </xf>
    <xf numFmtId="38" fontId="0" fillId="0" borderId="0" xfId="49" applyFont="1" applyAlignment="1">
      <alignment horizontal="center" vertical="center"/>
    </xf>
    <xf numFmtId="0" fontId="2" fillId="0" borderId="0" xfId="0" applyFont="1" applyBorder="1" applyAlignment="1">
      <alignment horizontal="center" vertical="center" wrapText="1"/>
    </xf>
    <xf numFmtId="38" fontId="5" fillId="33" borderId="15" xfId="49" applyFont="1" applyFill="1" applyBorder="1" applyAlignment="1">
      <alignment horizontal="centerContinuous" vertical="center"/>
    </xf>
    <xf numFmtId="0" fontId="5" fillId="0" borderId="10" xfId="0" applyFont="1" applyFill="1" applyBorder="1" applyAlignment="1">
      <alignment horizontal="left" vertical="center" shrinkToFit="1"/>
    </xf>
    <xf numFmtId="0" fontId="5" fillId="0" borderId="10" xfId="0" applyFont="1" applyBorder="1" applyAlignment="1">
      <alignment horizontal="left" vertical="center" shrinkToFit="1"/>
    </xf>
    <xf numFmtId="9" fontId="6" fillId="0" borderId="10" xfId="42" applyFont="1" applyBorder="1" applyAlignment="1">
      <alignment horizontal="center" vertical="center" shrinkToFit="1"/>
    </xf>
    <xf numFmtId="38" fontId="6" fillId="0" borderId="10" xfId="49" applyFont="1" applyBorder="1" applyAlignment="1">
      <alignment horizontal="right" vertical="center" shrinkToFit="1"/>
    </xf>
    <xf numFmtId="38" fontId="6" fillId="0" borderId="13" xfId="49" applyFont="1" applyBorder="1" applyAlignment="1">
      <alignment horizontal="right" vertical="center" shrinkToFit="1"/>
    </xf>
    <xf numFmtId="38" fontId="6" fillId="0" borderId="13" xfId="49" applyFont="1" applyFill="1" applyBorder="1" applyAlignment="1">
      <alignment horizontal="right" vertical="center" shrinkToFit="1"/>
    </xf>
    <xf numFmtId="38" fontId="5" fillId="0" borderId="10" xfId="49" applyFont="1" applyFill="1" applyBorder="1" applyAlignment="1">
      <alignment vertical="center" shrinkToFit="1"/>
    </xf>
    <xf numFmtId="38" fontId="5" fillId="0" borderId="10" xfId="49" applyFont="1" applyBorder="1" applyAlignment="1">
      <alignment horizontal="center" vertical="center" shrinkToFit="1"/>
    </xf>
    <xf numFmtId="38" fontId="4" fillId="0" borderId="0" xfId="49" applyFont="1" applyAlignment="1">
      <alignment vertical="center"/>
    </xf>
    <xf numFmtId="0" fontId="6" fillId="0" borderId="0" xfId="0" applyFont="1" applyFill="1" applyAlignment="1">
      <alignment vertical="center" shrinkToFit="1"/>
    </xf>
    <xf numFmtId="0" fontId="4" fillId="0" borderId="0" xfId="0" applyFont="1" applyAlignment="1">
      <alignment horizontal="left" vertical="center" shrinkToFit="1"/>
    </xf>
    <xf numFmtId="9" fontId="4" fillId="0" borderId="0" xfId="42" applyFont="1" applyAlignment="1">
      <alignment vertical="center"/>
    </xf>
    <xf numFmtId="9" fontId="4" fillId="0" borderId="0" xfId="42" applyFont="1" applyFill="1" applyAlignment="1">
      <alignment vertical="center"/>
    </xf>
    <xf numFmtId="38" fontId="4" fillId="0" borderId="0" xfId="49" applyFont="1" applyAlignment="1">
      <alignment horizontal="center" vertical="center"/>
    </xf>
    <xf numFmtId="0" fontId="6" fillId="0" borderId="0" xfId="0" applyFont="1" applyFill="1" applyAlignment="1">
      <alignment vertical="center"/>
    </xf>
    <xf numFmtId="0" fontId="0" fillId="0" borderId="10" xfId="0" applyFont="1" applyFill="1" applyBorder="1" applyAlignment="1">
      <alignment horizontal="center" vertical="center" shrinkToFit="1"/>
    </xf>
    <xf numFmtId="38" fontId="5" fillId="0" borderId="10" xfId="43" applyNumberFormat="1" applyFont="1" applyFill="1" applyBorder="1" applyAlignment="1" applyProtection="1">
      <alignment horizontal="center" vertical="center" wrapText="1"/>
      <protection/>
    </xf>
    <xf numFmtId="0" fontId="0" fillId="0" borderId="0" xfId="0" applyFont="1" applyFill="1" applyAlignment="1">
      <alignment vertical="center"/>
    </xf>
    <xf numFmtId="38" fontId="6" fillId="0" borderId="10" xfId="49" applyFont="1" applyFill="1" applyBorder="1" applyAlignment="1">
      <alignment vertical="center"/>
    </xf>
    <xf numFmtId="0" fontId="0" fillId="0" borderId="0" xfId="0" applyFont="1" applyFill="1" applyAlignment="1">
      <alignment horizontal="left" vertical="center"/>
    </xf>
    <xf numFmtId="38" fontId="6" fillId="0" borderId="10" xfId="49" applyFont="1" applyFill="1" applyBorder="1" applyAlignment="1">
      <alignment horizontal="right" vertical="center" wrapText="1" shrinkToFit="1"/>
    </xf>
    <xf numFmtId="9" fontId="6" fillId="0" borderId="10" xfId="42" applyFont="1" applyFill="1" applyBorder="1" applyAlignment="1">
      <alignment horizontal="right" vertical="center"/>
    </xf>
    <xf numFmtId="176" fontId="6" fillId="0" borderId="10" xfId="0" applyNumberFormat="1" applyFont="1" applyFill="1" applyBorder="1" applyAlignment="1">
      <alignment horizontal="right" vertical="center" shrinkToFit="1"/>
    </xf>
    <xf numFmtId="176" fontId="6" fillId="0" borderId="10" xfId="0" applyNumberFormat="1" applyFont="1" applyFill="1" applyBorder="1" applyAlignment="1">
      <alignment vertical="center" shrinkToFit="1"/>
    </xf>
    <xf numFmtId="176" fontId="5" fillId="0" borderId="10" xfId="0" applyNumberFormat="1" applyFont="1" applyFill="1" applyBorder="1" applyAlignment="1">
      <alignment horizontal="left" vertical="center" wrapText="1"/>
    </xf>
    <xf numFmtId="182" fontId="6" fillId="0" borderId="10" xfId="42" applyNumberFormat="1" applyFont="1" applyFill="1" applyBorder="1" applyAlignment="1">
      <alignment horizontal="center" vertical="center"/>
    </xf>
    <xf numFmtId="38" fontId="6" fillId="0" borderId="10" xfId="49" applyFont="1" applyFill="1" applyBorder="1" applyAlignment="1">
      <alignment horizontal="right" vertical="center" wrapText="1"/>
    </xf>
    <xf numFmtId="181" fontId="5" fillId="0" borderId="10" xfId="49" applyNumberFormat="1" applyFont="1" applyFill="1" applyBorder="1" applyAlignment="1">
      <alignment horizontal="left" vertical="center"/>
    </xf>
    <xf numFmtId="9" fontId="6" fillId="0" borderId="10" xfId="42" applyNumberFormat="1" applyFont="1" applyFill="1" applyBorder="1" applyAlignment="1">
      <alignment horizontal="center" vertical="center"/>
    </xf>
    <xf numFmtId="0" fontId="17" fillId="0" borderId="0" xfId="0" applyFont="1" applyFill="1" applyAlignment="1">
      <alignment vertical="center"/>
    </xf>
    <xf numFmtId="0" fontId="17" fillId="0" borderId="0" xfId="0" applyFont="1" applyFill="1" applyAlignment="1">
      <alignment horizontal="left" vertical="center"/>
    </xf>
    <xf numFmtId="38" fontId="17" fillId="0" borderId="0" xfId="49" applyFont="1" applyFill="1" applyAlignment="1">
      <alignment vertical="center"/>
    </xf>
    <xf numFmtId="38" fontId="5" fillId="33" borderId="13" xfId="49" applyFont="1" applyFill="1" applyBorder="1" applyAlignment="1">
      <alignment horizontal="center" vertical="center" wrapText="1"/>
    </xf>
    <xf numFmtId="38" fontId="5" fillId="33" borderId="13" xfId="49" applyFont="1" applyFill="1" applyBorder="1" applyAlignment="1">
      <alignment horizontal="center" vertical="center"/>
    </xf>
    <xf numFmtId="38" fontId="5" fillId="33" borderId="10" xfId="49" applyFont="1" applyFill="1" applyBorder="1" applyAlignment="1">
      <alignment horizontal="center" vertical="center"/>
    </xf>
    <xf numFmtId="38" fontId="5" fillId="33" borderId="11" xfId="49" applyFont="1" applyFill="1" applyBorder="1" applyAlignment="1">
      <alignment horizontal="center" vertical="center"/>
    </xf>
    <xf numFmtId="38" fontId="5" fillId="33" borderId="12" xfId="49" applyFont="1" applyFill="1" applyBorder="1" applyAlignment="1">
      <alignment horizontal="center" vertical="center"/>
    </xf>
    <xf numFmtId="0" fontId="4" fillId="33" borderId="10"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9" fontId="5" fillId="33" borderId="11" xfId="42" applyFont="1" applyFill="1" applyBorder="1" applyAlignment="1">
      <alignment horizontal="center" vertical="center" wrapText="1"/>
    </xf>
    <xf numFmtId="9" fontId="5" fillId="33" borderId="12" xfId="42" applyFont="1" applyFill="1" applyBorder="1" applyAlignment="1">
      <alignment horizontal="center" vertical="center" wrapText="1"/>
    </xf>
    <xf numFmtId="38" fontId="5" fillId="33" borderId="10" xfId="49" applyFont="1" applyFill="1" applyBorder="1" applyAlignment="1">
      <alignment horizontal="center" vertical="center" wrapText="1"/>
    </xf>
    <xf numFmtId="38" fontId="5" fillId="33" borderId="11" xfId="49" applyFont="1" applyFill="1" applyBorder="1" applyAlignment="1">
      <alignment horizontal="center" vertical="center" wrapText="1"/>
    </xf>
    <xf numFmtId="0" fontId="4" fillId="33" borderId="10"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4181475</xdr:colOff>
      <xdr:row>63</xdr:row>
      <xdr:rowOff>161925</xdr:rowOff>
    </xdr:from>
    <xdr:to>
      <xdr:col>9</xdr:col>
      <xdr:colOff>800100</xdr:colOff>
      <xdr:row>70</xdr:row>
      <xdr:rowOff>85725</xdr:rowOff>
    </xdr:to>
    <xdr:sp>
      <xdr:nvSpPr>
        <xdr:cNvPr id="1" name="Text Box 110"/>
        <xdr:cNvSpPr txBox="1">
          <a:spLocks noChangeArrowheads="1"/>
        </xdr:cNvSpPr>
      </xdr:nvSpPr>
      <xdr:spPr>
        <a:xfrm>
          <a:off x="9525000" y="93726000"/>
          <a:ext cx="6496050" cy="1924050"/>
        </a:xfrm>
        <a:prstGeom prst="rect">
          <a:avLst/>
        </a:prstGeom>
        <a:solidFill>
          <a:srgbClr val="CCFFCC"/>
        </a:solidFill>
        <a:ln w="9525" cmpd="sng">
          <a:solidFill>
            <a:srgbClr val="000000"/>
          </a:solidFill>
          <a:headEnd type="none"/>
          <a:tailEnd type="none"/>
        </a:ln>
      </xdr:spPr>
      <xdr:txBody>
        <a:bodyPr vertOverflow="clip" wrap="square" lIns="36576" tIns="22860" rIns="0" bIns="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文化観光局の所管施設（区民文化センターを除く）は、施設運営と自主企画事業を一体的に行っています。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自主企画事業費については、コスト及び収入は算定外です。ただし、その自主企画を実施・運営するにあたり、必要とされる人件費・物件費等については、コストに含んでいます。（</a:t>
          </a:r>
          <a:r>
            <a:rPr lang="en-US" cap="none" sz="1600" b="0" i="0" u="none" baseline="0">
              <a:solidFill>
                <a:srgbClr val="000000"/>
              </a:solidFill>
              <a:latin typeface="ＭＳ Ｐゴシック"/>
              <a:ea typeface="ＭＳ Ｐゴシック"/>
              <a:cs typeface="ＭＳ Ｐゴシック"/>
            </a:rPr>
            <a:t>No.14</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22</a:t>
          </a:r>
          <a:r>
            <a:rPr lang="en-US" cap="none" sz="1600" b="0" i="0" u="none" baseline="0">
              <a:solidFill>
                <a:srgbClr val="000000"/>
              </a:solidFill>
              <a:latin typeface="ＭＳ Ｐゴシック"/>
              <a:ea typeface="ＭＳ Ｐゴシック"/>
              <a:cs typeface="ＭＳ Ｐゴシック"/>
            </a:rPr>
            <a:t>の施設）</a:t>
          </a:r>
        </a:p>
      </xdr:txBody>
    </xdr:sp>
    <xdr:clientData/>
  </xdr:twoCellAnchor>
  <xdr:twoCellAnchor>
    <xdr:from>
      <xdr:col>2</xdr:col>
      <xdr:colOff>152400</xdr:colOff>
      <xdr:row>63</xdr:row>
      <xdr:rowOff>200025</xdr:rowOff>
    </xdr:from>
    <xdr:to>
      <xdr:col>3</xdr:col>
      <xdr:colOff>3486150</xdr:colOff>
      <xdr:row>67</xdr:row>
      <xdr:rowOff>0</xdr:rowOff>
    </xdr:to>
    <xdr:sp>
      <xdr:nvSpPr>
        <xdr:cNvPr id="2" name="Rectangle 111"/>
        <xdr:cNvSpPr>
          <a:spLocks/>
        </xdr:cNvSpPr>
      </xdr:nvSpPr>
      <xdr:spPr>
        <a:xfrm>
          <a:off x="1914525" y="93764100"/>
          <a:ext cx="6915150" cy="942975"/>
        </a:xfrm>
        <a:prstGeom prst="rect">
          <a:avLst/>
        </a:prstGeom>
        <a:solidFill>
          <a:srgbClr val="CCFFCC"/>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無料施設部分に係るコストを控除して割合を算定しています。</a:t>
          </a:r>
        </a:p>
      </xdr:txBody>
    </xdr:sp>
    <xdr:clientData/>
  </xdr:twoCellAnchor>
  <xdr:twoCellAnchor>
    <xdr:from>
      <xdr:col>10</xdr:col>
      <xdr:colOff>409575</xdr:colOff>
      <xdr:row>64</xdr:row>
      <xdr:rowOff>0</xdr:rowOff>
    </xdr:from>
    <xdr:to>
      <xdr:col>11</xdr:col>
      <xdr:colOff>2438400</xdr:colOff>
      <xdr:row>67</xdr:row>
      <xdr:rowOff>228600</xdr:rowOff>
    </xdr:to>
    <xdr:sp>
      <xdr:nvSpPr>
        <xdr:cNvPr id="3" name="Rectangle 111"/>
        <xdr:cNvSpPr>
          <a:spLocks/>
        </xdr:cNvSpPr>
      </xdr:nvSpPr>
      <xdr:spPr>
        <a:xfrm>
          <a:off x="16583025" y="93849825"/>
          <a:ext cx="6829425" cy="1085850"/>
        </a:xfrm>
        <a:prstGeom prst="rect">
          <a:avLst/>
        </a:prstGeom>
        <a:solidFill>
          <a:srgbClr val="CCFFCC"/>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有料施設と園地等を一体的に管理しています。有料施設のコストは、公園全体の共通経費を公園全体に占める有料施設の面積の割合で按分して算定しています。（</a:t>
          </a:r>
          <a:r>
            <a:rPr lang="en-US" cap="none" sz="1600" b="0" i="0" u="none" baseline="0">
              <a:solidFill>
                <a:srgbClr val="000000"/>
              </a:solidFill>
              <a:latin typeface="ＭＳ Ｐゴシック"/>
              <a:ea typeface="ＭＳ Ｐゴシック"/>
              <a:cs typeface="ＭＳ Ｐゴシック"/>
            </a:rPr>
            <a:t>No.46</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47</a:t>
          </a:r>
          <a:r>
            <a:rPr lang="en-US" cap="none" sz="1600" b="0" i="0" u="none" baseline="0">
              <a:solidFill>
                <a:srgbClr val="000000"/>
              </a:solidFill>
              <a:latin typeface="ＭＳ Ｐゴシック"/>
              <a:ea typeface="ＭＳ Ｐゴシック"/>
              <a:cs typeface="ＭＳ Ｐゴシック"/>
            </a:rPr>
            <a:t>の施設）</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4181475</xdr:colOff>
      <xdr:row>64</xdr:row>
      <xdr:rowOff>142875</xdr:rowOff>
    </xdr:from>
    <xdr:to>
      <xdr:col>9</xdr:col>
      <xdr:colOff>800100</xdr:colOff>
      <xdr:row>71</xdr:row>
      <xdr:rowOff>85725</xdr:rowOff>
    </xdr:to>
    <xdr:sp>
      <xdr:nvSpPr>
        <xdr:cNvPr id="1" name="Text Box 110"/>
        <xdr:cNvSpPr txBox="1">
          <a:spLocks noChangeArrowheads="1"/>
        </xdr:cNvSpPr>
      </xdr:nvSpPr>
      <xdr:spPr>
        <a:xfrm>
          <a:off x="9525000" y="95469075"/>
          <a:ext cx="6496050" cy="1343025"/>
        </a:xfrm>
        <a:prstGeom prst="rect">
          <a:avLst/>
        </a:prstGeom>
        <a:solidFill>
          <a:srgbClr val="CCFFCC"/>
        </a:solidFill>
        <a:ln w="9525" cmpd="sng">
          <a:solidFill>
            <a:srgbClr val="000000"/>
          </a:solidFill>
          <a:headEnd type="none"/>
          <a:tailEnd type="none"/>
        </a:ln>
      </xdr:spPr>
      <xdr:txBody>
        <a:bodyPr vertOverflow="clip" wrap="square" lIns="36576" tIns="22860" rIns="0" bIns="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文化観光局の所管施設（区民文化センターを除く）は、施設運営と自主企画事業を一体的に行っています。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自主企画事業費については、コスト及び収入は算定外です。ただし、その自主企画を実施・運営するにあたり、必要とされる人件費・物件費等については、コストに含んでいます。（</a:t>
          </a:r>
          <a:r>
            <a:rPr lang="en-US" cap="none" sz="1600" b="0" i="0" u="none" baseline="0">
              <a:solidFill>
                <a:srgbClr val="000000"/>
              </a:solidFill>
              <a:latin typeface="ＭＳ Ｐゴシック"/>
              <a:ea typeface="ＭＳ Ｐゴシック"/>
              <a:cs typeface="ＭＳ Ｐゴシック"/>
            </a:rPr>
            <a:t>No.14</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22</a:t>
          </a:r>
          <a:r>
            <a:rPr lang="en-US" cap="none" sz="1600" b="0" i="0" u="none" baseline="0">
              <a:solidFill>
                <a:srgbClr val="000000"/>
              </a:solidFill>
              <a:latin typeface="ＭＳ Ｐゴシック"/>
              <a:ea typeface="ＭＳ Ｐゴシック"/>
              <a:cs typeface="ＭＳ Ｐゴシック"/>
            </a:rPr>
            <a:t>の施設）</a:t>
          </a:r>
        </a:p>
      </xdr:txBody>
    </xdr:sp>
    <xdr:clientData/>
  </xdr:twoCellAnchor>
  <xdr:twoCellAnchor>
    <xdr:from>
      <xdr:col>2</xdr:col>
      <xdr:colOff>152400</xdr:colOff>
      <xdr:row>64</xdr:row>
      <xdr:rowOff>161925</xdr:rowOff>
    </xdr:from>
    <xdr:to>
      <xdr:col>3</xdr:col>
      <xdr:colOff>3486150</xdr:colOff>
      <xdr:row>68</xdr:row>
      <xdr:rowOff>9525</xdr:rowOff>
    </xdr:to>
    <xdr:sp>
      <xdr:nvSpPr>
        <xdr:cNvPr id="2" name="Rectangle 111"/>
        <xdr:cNvSpPr>
          <a:spLocks/>
        </xdr:cNvSpPr>
      </xdr:nvSpPr>
      <xdr:spPr>
        <a:xfrm>
          <a:off x="1914525" y="95488125"/>
          <a:ext cx="6915150" cy="647700"/>
        </a:xfrm>
        <a:prstGeom prst="rect">
          <a:avLst/>
        </a:prstGeom>
        <a:solidFill>
          <a:srgbClr val="CCFFCC"/>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無料施設部分に係るコストを控除して割合を算定しています。</a:t>
          </a:r>
        </a:p>
      </xdr:txBody>
    </xdr:sp>
    <xdr:clientData/>
  </xdr:twoCellAnchor>
  <xdr:twoCellAnchor>
    <xdr:from>
      <xdr:col>10</xdr:col>
      <xdr:colOff>419100</xdr:colOff>
      <xdr:row>65</xdr:row>
      <xdr:rowOff>9525</xdr:rowOff>
    </xdr:from>
    <xdr:to>
      <xdr:col>11</xdr:col>
      <xdr:colOff>2114550</xdr:colOff>
      <xdr:row>71</xdr:row>
      <xdr:rowOff>38100</xdr:rowOff>
    </xdr:to>
    <xdr:sp>
      <xdr:nvSpPr>
        <xdr:cNvPr id="3" name="Rectangle 111"/>
        <xdr:cNvSpPr>
          <a:spLocks/>
        </xdr:cNvSpPr>
      </xdr:nvSpPr>
      <xdr:spPr>
        <a:xfrm>
          <a:off x="16592550" y="95535750"/>
          <a:ext cx="6496050" cy="1228725"/>
        </a:xfrm>
        <a:prstGeom prst="rect">
          <a:avLst/>
        </a:prstGeom>
        <a:solidFill>
          <a:srgbClr val="CCFFCC"/>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有料施設と園地等を一体的に管理しています。施設のコストは、次の２つのコストを合算して算定しています。（</a:t>
          </a:r>
          <a:r>
            <a:rPr lang="en-US" cap="none" sz="1600" b="0" i="0" u="none" baseline="0">
              <a:solidFill>
                <a:srgbClr val="000000"/>
              </a:solidFill>
              <a:latin typeface="ＭＳ Ｐゴシック"/>
              <a:ea typeface="ＭＳ Ｐゴシック"/>
              <a:cs typeface="ＭＳ Ｐゴシック"/>
            </a:rPr>
            <a:t>No.46</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47</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49</a:t>
          </a:r>
          <a:r>
            <a:rPr lang="en-US" cap="none" sz="1600" b="0" i="0" u="none" baseline="0">
              <a:solidFill>
                <a:srgbClr val="000000"/>
              </a:solidFill>
              <a:latin typeface="ＭＳ Ｐゴシック"/>
              <a:ea typeface="ＭＳ Ｐゴシック"/>
              <a:cs typeface="ＭＳ Ｐゴシック"/>
            </a:rPr>
            <a:t>の施設）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①有料施設に直接かかるコスト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②公園全体の共通経費を公園全体に占める有料施設の面積の割合で按分して求めた額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4181475</xdr:colOff>
      <xdr:row>64</xdr:row>
      <xdr:rowOff>142875</xdr:rowOff>
    </xdr:from>
    <xdr:to>
      <xdr:col>9</xdr:col>
      <xdr:colOff>800100</xdr:colOff>
      <xdr:row>71</xdr:row>
      <xdr:rowOff>85725</xdr:rowOff>
    </xdr:to>
    <xdr:sp>
      <xdr:nvSpPr>
        <xdr:cNvPr id="1" name="Text Box 110"/>
        <xdr:cNvSpPr txBox="1">
          <a:spLocks noChangeArrowheads="1"/>
        </xdr:cNvSpPr>
      </xdr:nvSpPr>
      <xdr:spPr>
        <a:xfrm>
          <a:off x="9525000" y="95069025"/>
          <a:ext cx="6496050" cy="1343025"/>
        </a:xfrm>
        <a:prstGeom prst="rect">
          <a:avLst/>
        </a:prstGeom>
        <a:solidFill>
          <a:srgbClr val="CCFFCC"/>
        </a:solidFill>
        <a:ln w="9525" cmpd="sng">
          <a:solidFill>
            <a:srgbClr val="000000"/>
          </a:solidFill>
          <a:headEnd type="none"/>
          <a:tailEnd type="none"/>
        </a:ln>
      </xdr:spPr>
      <xdr:txBody>
        <a:bodyPr vertOverflow="clip" wrap="square" lIns="36576" tIns="22860" rIns="0" bIns="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文化観光局の所管施設（区民文化センターを除く）は、施設運営と自主企画事業を一体的に行っています。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自主企画事業費については、コスト及び収入は算定外です。ただし、その自主企画を実施・運営するにあたり、必要とされる人件費・物件費等については、コストに含んでいます。（</a:t>
          </a:r>
          <a:r>
            <a:rPr lang="en-US" cap="none" sz="1600" b="0" i="0" u="none" baseline="0">
              <a:solidFill>
                <a:srgbClr val="000000"/>
              </a:solidFill>
              <a:latin typeface="ＭＳ Ｐゴシック"/>
              <a:ea typeface="ＭＳ Ｐゴシック"/>
              <a:cs typeface="ＭＳ Ｐゴシック"/>
            </a:rPr>
            <a:t>No.14</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22</a:t>
          </a:r>
          <a:r>
            <a:rPr lang="en-US" cap="none" sz="1600" b="0" i="0" u="none" baseline="0">
              <a:solidFill>
                <a:srgbClr val="000000"/>
              </a:solidFill>
              <a:latin typeface="ＭＳ Ｐゴシック"/>
              <a:ea typeface="ＭＳ Ｐゴシック"/>
              <a:cs typeface="ＭＳ Ｐゴシック"/>
            </a:rPr>
            <a:t>の施設）</a:t>
          </a:r>
        </a:p>
      </xdr:txBody>
    </xdr:sp>
    <xdr:clientData/>
  </xdr:twoCellAnchor>
  <xdr:twoCellAnchor>
    <xdr:from>
      <xdr:col>2</xdr:col>
      <xdr:colOff>152400</xdr:colOff>
      <xdr:row>64</xdr:row>
      <xdr:rowOff>152400</xdr:rowOff>
    </xdr:from>
    <xdr:to>
      <xdr:col>3</xdr:col>
      <xdr:colOff>3486150</xdr:colOff>
      <xdr:row>68</xdr:row>
      <xdr:rowOff>0</xdr:rowOff>
    </xdr:to>
    <xdr:sp>
      <xdr:nvSpPr>
        <xdr:cNvPr id="2" name="Rectangle 111"/>
        <xdr:cNvSpPr>
          <a:spLocks/>
        </xdr:cNvSpPr>
      </xdr:nvSpPr>
      <xdr:spPr>
        <a:xfrm>
          <a:off x="1914525" y="95078550"/>
          <a:ext cx="6915150" cy="647700"/>
        </a:xfrm>
        <a:prstGeom prst="rect">
          <a:avLst/>
        </a:prstGeom>
        <a:solidFill>
          <a:srgbClr val="CCFFCC"/>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無料施設部分に係るコストを控除して割合を算定しています。</a:t>
          </a:r>
        </a:p>
      </xdr:txBody>
    </xdr:sp>
    <xdr:clientData/>
  </xdr:twoCellAnchor>
  <xdr:twoCellAnchor>
    <xdr:from>
      <xdr:col>10</xdr:col>
      <xdr:colOff>4733925</xdr:colOff>
      <xdr:row>0</xdr:row>
      <xdr:rowOff>114300</xdr:rowOff>
    </xdr:from>
    <xdr:to>
      <xdr:col>12</xdr:col>
      <xdr:colOff>1524000</xdr:colOff>
      <xdr:row>1</xdr:row>
      <xdr:rowOff>571500</xdr:rowOff>
    </xdr:to>
    <xdr:sp>
      <xdr:nvSpPr>
        <xdr:cNvPr id="3" name="AutoShape 532"/>
        <xdr:cNvSpPr>
          <a:spLocks/>
        </xdr:cNvSpPr>
      </xdr:nvSpPr>
      <xdr:spPr>
        <a:xfrm>
          <a:off x="20907375" y="114300"/>
          <a:ext cx="6219825" cy="752475"/>
        </a:xfrm>
        <a:prstGeom prst="wedgeRectCallout">
          <a:avLst>
            <a:gd name="adj1" fmla="val 35101"/>
            <a:gd name="adj2" fmla="val 83333"/>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お使いのコンピューターによっては、詳細資料へリンクできない場合があります。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リンクできない方は、一度ページを戻っていただき、見られない方用のウィンドウからご覧ください。</a:t>
          </a:r>
        </a:p>
      </xdr:txBody>
    </xdr:sp>
    <xdr:clientData/>
  </xdr:twoCellAnchor>
  <xdr:twoCellAnchor>
    <xdr:from>
      <xdr:col>10</xdr:col>
      <xdr:colOff>419100</xdr:colOff>
      <xdr:row>65</xdr:row>
      <xdr:rowOff>19050</xdr:rowOff>
    </xdr:from>
    <xdr:to>
      <xdr:col>11</xdr:col>
      <xdr:colOff>2114550</xdr:colOff>
      <xdr:row>71</xdr:row>
      <xdr:rowOff>38100</xdr:rowOff>
    </xdr:to>
    <xdr:sp>
      <xdr:nvSpPr>
        <xdr:cNvPr id="4" name="Rectangle 111"/>
        <xdr:cNvSpPr>
          <a:spLocks/>
        </xdr:cNvSpPr>
      </xdr:nvSpPr>
      <xdr:spPr>
        <a:xfrm>
          <a:off x="16592550" y="95145225"/>
          <a:ext cx="6496050" cy="1219200"/>
        </a:xfrm>
        <a:prstGeom prst="rect">
          <a:avLst/>
        </a:prstGeom>
        <a:solidFill>
          <a:srgbClr val="CCFFCC"/>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有料施設と園地等を一体的に管理しています。施設のコストは、次の２つのコストを合算して算定しています。（</a:t>
          </a:r>
          <a:r>
            <a:rPr lang="en-US" cap="none" sz="1600" b="0" i="0" u="none" baseline="0">
              <a:solidFill>
                <a:srgbClr val="000000"/>
              </a:solidFill>
              <a:latin typeface="ＭＳ Ｐゴシック"/>
              <a:ea typeface="ＭＳ Ｐゴシック"/>
              <a:cs typeface="ＭＳ Ｐゴシック"/>
            </a:rPr>
            <a:t>No.46</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47</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49</a:t>
          </a:r>
          <a:r>
            <a:rPr lang="en-US" cap="none" sz="1600" b="0" i="0" u="none" baseline="0">
              <a:solidFill>
                <a:srgbClr val="000000"/>
              </a:solidFill>
              <a:latin typeface="ＭＳ Ｐゴシック"/>
              <a:ea typeface="ＭＳ Ｐゴシック"/>
              <a:cs typeface="ＭＳ Ｐゴシック"/>
            </a:rPr>
            <a:t>の施設）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①有料施設に直接かかるコスト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②公園全体の共通経費を公園全体に占める有料施設の面積の割合で按分して求めた額</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4181475</xdr:colOff>
      <xdr:row>64</xdr:row>
      <xdr:rowOff>142875</xdr:rowOff>
    </xdr:from>
    <xdr:to>
      <xdr:col>9</xdr:col>
      <xdr:colOff>800100</xdr:colOff>
      <xdr:row>71</xdr:row>
      <xdr:rowOff>85725</xdr:rowOff>
    </xdr:to>
    <xdr:sp>
      <xdr:nvSpPr>
        <xdr:cNvPr id="1" name="Text Box 110"/>
        <xdr:cNvSpPr txBox="1">
          <a:spLocks noChangeArrowheads="1"/>
        </xdr:cNvSpPr>
      </xdr:nvSpPr>
      <xdr:spPr>
        <a:xfrm>
          <a:off x="9525000" y="92821125"/>
          <a:ext cx="6496050" cy="1343025"/>
        </a:xfrm>
        <a:prstGeom prst="rect">
          <a:avLst/>
        </a:prstGeom>
        <a:solidFill>
          <a:srgbClr val="CCFFCC"/>
        </a:solidFill>
        <a:ln w="9525" cmpd="sng">
          <a:solidFill>
            <a:srgbClr val="000000"/>
          </a:solidFill>
          <a:headEnd type="none"/>
          <a:tailEnd type="none"/>
        </a:ln>
      </xdr:spPr>
      <xdr:txBody>
        <a:bodyPr vertOverflow="clip" wrap="square" lIns="36576" tIns="22860" rIns="0" bIns="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文化観光局の所管施設（区民文化センターを除く）は、施設運営と自主企画事業を一体的に行っています。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自主企画事業費については、コスト及び収入は算定外です。ただし、その自主企画を実施・運営するにあたり、必要とされる人件費・物件費等については、コストに含んでいます。（</a:t>
          </a:r>
          <a:r>
            <a:rPr lang="en-US" cap="none" sz="1600" b="0" i="0" u="none" baseline="0">
              <a:solidFill>
                <a:srgbClr val="000000"/>
              </a:solidFill>
              <a:latin typeface="ＭＳ Ｐゴシック"/>
              <a:ea typeface="ＭＳ Ｐゴシック"/>
              <a:cs typeface="ＭＳ Ｐゴシック"/>
            </a:rPr>
            <a:t>No.14</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22</a:t>
          </a:r>
          <a:r>
            <a:rPr lang="en-US" cap="none" sz="1600" b="0" i="0" u="none" baseline="0">
              <a:solidFill>
                <a:srgbClr val="000000"/>
              </a:solidFill>
              <a:latin typeface="ＭＳ Ｐゴシック"/>
              <a:ea typeface="ＭＳ Ｐゴシック"/>
              <a:cs typeface="ＭＳ Ｐゴシック"/>
            </a:rPr>
            <a:t>の施設）</a:t>
          </a:r>
        </a:p>
      </xdr:txBody>
    </xdr:sp>
    <xdr:clientData/>
  </xdr:twoCellAnchor>
  <xdr:twoCellAnchor>
    <xdr:from>
      <xdr:col>2</xdr:col>
      <xdr:colOff>152400</xdr:colOff>
      <xdr:row>64</xdr:row>
      <xdr:rowOff>180975</xdr:rowOff>
    </xdr:from>
    <xdr:to>
      <xdr:col>3</xdr:col>
      <xdr:colOff>3486150</xdr:colOff>
      <xdr:row>68</xdr:row>
      <xdr:rowOff>19050</xdr:rowOff>
    </xdr:to>
    <xdr:sp>
      <xdr:nvSpPr>
        <xdr:cNvPr id="2" name="Rectangle 111"/>
        <xdr:cNvSpPr>
          <a:spLocks/>
        </xdr:cNvSpPr>
      </xdr:nvSpPr>
      <xdr:spPr>
        <a:xfrm>
          <a:off x="1914525" y="92859225"/>
          <a:ext cx="6915150" cy="638175"/>
        </a:xfrm>
        <a:prstGeom prst="rect">
          <a:avLst/>
        </a:prstGeom>
        <a:solidFill>
          <a:srgbClr val="CCFFCC"/>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無料施設部分に係るコストを控除して割合を算定しています。（</a:t>
          </a:r>
          <a:r>
            <a:rPr lang="en-US" cap="none" sz="1600" b="0" i="0" u="none" baseline="0">
              <a:solidFill>
                <a:srgbClr val="000000"/>
              </a:solidFill>
              <a:latin typeface="ＭＳ Ｐゴシック"/>
              <a:ea typeface="ＭＳ Ｐゴシック"/>
              <a:cs typeface="ＭＳ Ｐゴシック"/>
            </a:rPr>
            <a:t>No.7</a:t>
          </a:r>
          <a:r>
            <a:rPr lang="en-US" cap="none" sz="1600" b="0" i="0" u="none" baseline="0">
              <a:solidFill>
                <a:srgbClr val="000000"/>
              </a:solidFill>
              <a:latin typeface="ＭＳ Ｐゴシック"/>
              <a:ea typeface="ＭＳ Ｐゴシック"/>
              <a:cs typeface="ＭＳ Ｐゴシック"/>
            </a:rPr>
            <a:t>の施設）</a:t>
          </a:r>
        </a:p>
      </xdr:txBody>
    </xdr:sp>
    <xdr:clientData/>
  </xdr:twoCellAnchor>
  <xdr:twoCellAnchor>
    <xdr:from>
      <xdr:col>10</xdr:col>
      <xdr:colOff>4733925</xdr:colOff>
      <xdr:row>0</xdr:row>
      <xdr:rowOff>114300</xdr:rowOff>
    </xdr:from>
    <xdr:to>
      <xdr:col>12</xdr:col>
      <xdr:colOff>1524000</xdr:colOff>
      <xdr:row>1</xdr:row>
      <xdr:rowOff>571500</xdr:rowOff>
    </xdr:to>
    <xdr:sp>
      <xdr:nvSpPr>
        <xdr:cNvPr id="3" name="AutoShape 532"/>
        <xdr:cNvSpPr>
          <a:spLocks/>
        </xdr:cNvSpPr>
      </xdr:nvSpPr>
      <xdr:spPr>
        <a:xfrm>
          <a:off x="20907375" y="114300"/>
          <a:ext cx="6219825" cy="752475"/>
        </a:xfrm>
        <a:prstGeom prst="wedgeRectCallout">
          <a:avLst>
            <a:gd name="adj1" fmla="val 35101"/>
            <a:gd name="adj2" fmla="val 83333"/>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お使いのコンピューターによっては、詳細資料へリンクできない場合があります。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リンクできない方は、一度ページを戻っていただき、見られない方用のウィンドウからご覧ください。</a:t>
          </a:r>
        </a:p>
      </xdr:txBody>
    </xdr:sp>
    <xdr:clientData/>
  </xdr:twoCellAnchor>
  <xdr:twoCellAnchor>
    <xdr:from>
      <xdr:col>10</xdr:col>
      <xdr:colOff>419100</xdr:colOff>
      <xdr:row>65</xdr:row>
      <xdr:rowOff>19050</xdr:rowOff>
    </xdr:from>
    <xdr:to>
      <xdr:col>11</xdr:col>
      <xdr:colOff>2114550</xdr:colOff>
      <xdr:row>71</xdr:row>
      <xdr:rowOff>38100</xdr:rowOff>
    </xdr:to>
    <xdr:sp>
      <xdr:nvSpPr>
        <xdr:cNvPr id="4" name="Rectangle 111"/>
        <xdr:cNvSpPr>
          <a:spLocks/>
        </xdr:cNvSpPr>
      </xdr:nvSpPr>
      <xdr:spPr>
        <a:xfrm>
          <a:off x="16592550" y="92897325"/>
          <a:ext cx="6496050" cy="1219200"/>
        </a:xfrm>
        <a:prstGeom prst="rect">
          <a:avLst/>
        </a:prstGeom>
        <a:solidFill>
          <a:srgbClr val="CCFFCC"/>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有料施設と園地等を一体的に管理しています。施設のコストは、次の２つのコストを合算して算定しています。（</a:t>
          </a:r>
          <a:r>
            <a:rPr lang="en-US" cap="none" sz="1600" b="0" i="0" u="none" baseline="0">
              <a:solidFill>
                <a:srgbClr val="000000"/>
              </a:solidFill>
              <a:latin typeface="ＭＳ Ｐゴシック"/>
              <a:ea typeface="ＭＳ Ｐゴシック"/>
              <a:cs typeface="ＭＳ Ｐゴシック"/>
            </a:rPr>
            <a:t>No.46</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47</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49</a:t>
          </a:r>
          <a:r>
            <a:rPr lang="en-US" cap="none" sz="1600" b="0" i="0" u="none" baseline="0">
              <a:solidFill>
                <a:srgbClr val="000000"/>
              </a:solidFill>
              <a:latin typeface="ＭＳ Ｐゴシック"/>
              <a:ea typeface="ＭＳ Ｐゴシック"/>
              <a:cs typeface="ＭＳ Ｐゴシック"/>
            </a:rPr>
            <a:t>の施設）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①有料施設に直接かかるコスト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②公園全体の共通経費を公園全体に占める有料施設の面積の割合で按分して求めた額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M72"/>
  <sheetViews>
    <sheetView showGridLines="0" tabSelected="1" zoomScale="55" zoomScaleNormal="55" zoomScaleSheetLayoutView="4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5.625" style="7" customWidth="1"/>
    <col min="2" max="2" width="17.50390625" style="7" customWidth="1"/>
    <col min="3" max="3" width="47.00390625" style="6" customWidth="1"/>
    <col min="4" max="4" width="60.25390625" style="6" customWidth="1"/>
    <col min="5" max="7" width="12.50390625" style="8" customWidth="1"/>
    <col min="8" max="8" width="19.375" style="10" bestFit="1" customWidth="1"/>
    <col min="9" max="10" width="12.50390625" style="10" customWidth="1"/>
    <col min="11" max="11" width="63.00390625" style="11" customWidth="1"/>
    <col min="12" max="12" width="60.75390625" style="11" customWidth="1"/>
    <col min="13" max="13" width="9.00390625" style="64" customWidth="1"/>
  </cols>
  <sheetData>
    <row r="1" ht="23.25">
      <c r="A1" s="30" t="s">
        <v>325</v>
      </c>
    </row>
    <row r="2" spans="1:12" ht="51" customHeight="1">
      <c r="A2" s="15"/>
      <c r="B2" s="15"/>
      <c r="C2" s="15"/>
      <c r="D2" s="15"/>
      <c r="E2" s="15"/>
      <c r="F2" s="15"/>
      <c r="G2" s="15"/>
      <c r="H2" s="15"/>
      <c r="I2" s="13"/>
      <c r="J2" s="13"/>
      <c r="K2" s="14"/>
      <c r="L2" s="14"/>
    </row>
    <row r="3" spans="1:12" ht="42.75" customHeight="1">
      <c r="A3" s="72"/>
      <c r="B3" s="73" t="s">
        <v>103</v>
      </c>
      <c r="C3" s="74" t="s">
        <v>73</v>
      </c>
      <c r="D3" s="74" t="s">
        <v>36</v>
      </c>
      <c r="E3" s="76" t="s">
        <v>324</v>
      </c>
      <c r="F3" s="78" t="s">
        <v>106</v>
      </c>
      <c r="G3" s="78" t="s">
        <v>105</v>
      </c>
      <c r="H3" s="67" t="s">
        <v>104</v>
      </c>
      <c r="I3" s="28" t="s">
        <v>16</v>
      </c>
      <c r="J3" s="29"/>
      <c r="K3" s="69" t="s">
        <v>17</v>
      </c>
      <c r="L3" s="70" t="s">
        <v>38</v>
      </c>
    </row>
    <row r="4" spans="1:12" ht="34.5" customHeight="1">
      <c r="A4" s="72"/>
      <c r="B4" s="73"/>
      <c r="C4" s="75"/>
      <c r="D4" s="75"/>
      <c r="E4" s="77"/>
      <c r="F4" s="69"/>
      <c r="G4" s="69"/>
      <c r="H4" s="68"/>
      <c r="I4" s="21" t="s">
        <v>14</v>
      </c>
      <c r="J4" s="21" t="s">
        <v>15</v>
      </c>
      <c r="K4" s="69"/>
      <c r="L4" s="71"/>
    </row>
    <row r="5" spans="1:13" s="52" customFormat="1" ht="90" customHeight="1">
      <c r="A5" s="50">
        <v>1</v>
      </c>
      <c r="B5" s="16" t="s">
        <v>102</v>
      </c>
      <c r="C5" s="12" t="s">
        <v>80</v>
      </c>
      <c r="D5" s="1" t="s">
        <v>233</v>
      </c>
      <c r="E5" s="2">
        <f>(F5+G5)/H5</f>
        <v>0.35507331378299123</v>
      </c>
      <c r="F5" s="3">
        <v>6464</v>
      </c>
      <c r="G5" s="3">
        <v>2617</v>
      </c>
      <c r="H5" s="3">
        <v>25575</v>
      </c>
      <c r="I5" s="3">
        <v>15878</v>
      </c>
      <c r="J5" s="3">
        <f aca="true" t="shared" si="0" ref="J5:J35">H5-I5</f>
        <v>9697</v>
      </c>
      <c r="K5" s="22" t="s">
        <v>34</v>
      </c>
      <c r="L5" s="22" t="s">
        <v>52</v>
      </c>
      <c r="M5" s="64"/>
    </row>
    <row r="6" spans="1:13" s="52" customFormat="1" ht="117" customHeight="1">
      <c r="A6" s="50">
        <v>2</v>
      </c>
      <c r="B6" s="16" t="s">
        <v>102</v>
      </c>
      <c r="C6" s="12" t="s">
        <v>81</v>
      </c>
      <c r="D6" s="1" t="s">
        <v>126</v>
      </c>
      <c r="E6" s="2">
        <f>(F6+G6)/H6</f>
        <v>0.4877658613779639</v>
      </c>
      <c r="F6" s="4">
        <v>56054</v>
      </c>
      <c r="G6" s="4">
        <v>660</v>
      </c>
      <c r="H6" s="4">
        <v>116273</v>
      </c>
      <c r="I6" s="4">
        <v>45448</v>
      </c>
      <c r="J6" s="4">
        <f t="shared" si="0"/>
        <v>70825</v>
      </c>
      <c r="K6" s="22" t="s">
        <v>60</v>
      </c>
      <c r="L6" s="22" t="s">
        <v>206</v>
      </c>
      <c r="M6" s="64"/>
    </row>
    <row r="7" spans="1:13" s="52" customFormat="1" ht="95.25" customHeight="1">
      <c r="A7" s="50">
        <v>3</v>
      </c>
      <c r="B7" s="16" t="s">
        <v>100</v>
      </c>
      <c r="C7" s="12" t="s">
        <v>250</v>
      </c>
      <c r="D7" s="1" t="s">
        <v>126</v>
      </c>
      <c r="E7" s="2">
        <f>(F7+G7)/H7</f>
        <v>0.26093584305408274</v>
      </c>
      <c r="F7" s="4">
        <v>6460</v>
      </c>
      <c r="G7" s="4">
        <v>1414</v>
      </c>
      <c r="H7" s="4">
        <v>30176</v>
      </c>
      <c r="I7" s="4">
        <v>12292</v>
      </c>
      <c r="J7" s="4">
        <f t="shared" si="0"/>
        <v>17884</v>
      </c>
      <c r="K7" s="22" t="s">
        <v>33</v>
      </c>
      <c r="L7" s="22" t="s">
        <v>147</v>
      </c>
      <c r="M7" s="64"/>
    </row>
    <row r="8" spans="1:13" s="52" customFormat="1" ht="163.5" customHeight="1">
      <c r="A8" s="50">
        <v>4</v>
      </c>
      <c r="B8" s="16" t="s">
        <v>100</v>
      </c>
      <c r="C8" s="12" t="s">
        <v>75</v>
      </c>
      <c r="D8" s="1" t="s">
        <v>126</v>
      </c>
      <c r="E8" s="2">
        <v>0.5602745792736935</v>
      </c>
      <c r="F8" s="4">
        <v>97262</v>
      </c>
      <c r="G8" s="4">
        <v>3946</v>
      </c>
      <c r="H8" s="55">
        <v>180640</v>
      </c>
      <c r="I8" s="55">
        <v>56667</v>
      </c>
      <c r="J8" s="55">
        <f t="shared" si="0"/>
        <v>123973</v>
      </c>
      <c r="K8" s="23" t="s">
        <v>201</v>
      </c>
      <c r="L8" s="23" t="s">
        <v>150</v>
      </c>
      <c r="M8" s="64"/>
    </row>
    <row r="9" spans="1:13" s="52" customFormat="1" ht="95.25" customHeight="1">
      <c r="A9" s="50">
        <v>5</v>
      </c>
      <c r="B9" s="16" t="s">
        <v>100</v>
      </c>
      <c r="C9" s="12" t="s">
        <v>125</v>
      </c>
      <c r="D9" s="1" t="s">
        <v>234</v>
      </c>
      <c r="E9" s="2" t="s">
        <v>109</v>
      </c>
      <c r="F9" s="3">
        <v>0</v>
      </c>
      <c r="G9" s="3">
        <v>0</v>
      </c>
      <c r="H9" s="3">
        <v>8216</v>
      </c>
      <c r="I9" s="3">
        <v>4414</v>
      </c>
      <c r="J9" s="3">
        <f t="shared" si="0"/>
        <v>3802</v>
      </c>
      <c r="K9" s="24" t="s">
        <v>18</v>
      </c>
      <c r="L9" s="24" t="s">
        <v>110</v>
      </c>
      <c r="M9" s="64"/>
    </row>
    <row r="10" spans="1:13" s="52" customFormat="1" ht="106.5" customHeight="1">
      <c r="A10" s="50">
        <v>6</v>
      </c>
      <c r="B10" s="16" t="s">
        <v>300</v>
      </c>
      <c r="C10" s="1" t="s">
        <v>244</v>
      </c>
      <c r="D10" s="12" t="s">
        <v>132</v>
      </c>
      <c r="E10" s="2">
        <f>(F10+G10)/H10</f>
        <v>0.22004942134362057</v>
      </c>
      <c r="F10" s="3">
        <v>12345</v>
      </c>
      <c r="G10" s="3">
        <v>33</v>
      </c>
      <c r="H10" s="3">
        <v>56251</v>
      </c>
      <c r="I10" s="3">
        <v>10344</v>
      </c>
      <c r="J10" s="3">
        <f t="shared" si="0"/>
        <v>45907</v>
      </c>
      <c r="K10" s="22" t="s">
        <v>86</v>
      </c>
      <c r="L10" s="22" t="s">
        <v>205</v>
      </c>
      <c r="M10" s="64"/>
    </row>
    <row r="11" spans="1:13" s="52" customFormat="1" ht="132" customHeight="1">
      <c r="A11" s="50">
        <v>7</v>
      </c>
      <c r="B11" s="16" t="s">
        <v>102</v>
      </c>
      <c r="C11" s="12" t="s">
        <v>191</v>
      </c>
      <c r="D11" s="1" t="s">
        <v>234</v>
      </c>
      <c r="E11" s="2">
        <f>(F11+G11)/H11</f>
        <v>0.12338754907459339</v>
      </c>
      <c r="F11" s="3">
        <v>3727</v>
      </c>
      <c r="G11" s="3">
        <v>13</v>
      </c>
      <c r="H11" s="3">
        <v>30311</v>
      </c>
      <c r="I11" s="3">
        <v>19561</v>
      </c>
      <c r="J11" s="3">
        <f t="shared" si="0"/>
        <v>10750</v>
      </c>
      <c r="K11" s="22" t="s">
        <v>134</v>
      </c>
      <c r="L11" s="22" t="s">
        <v>51</v>
      </c>
      <c r="M11" s="64"/>
    </row>
    <row r="12" spans="1:13" s="52" customFormat="1" ht="96.75" customHeight="1">
      <c r="A12" s="50">
        <v>8</v>
      </c>
      <c r="B12" s="16" t="s">
        <v>102</v>
      </c>
      <c r="C12" s="12" t="s">
        <v>243</v>
      </c>
      <c r="D12" s="1" t="s">
        <v>234</v>
      </c>
      <c r="E12" s="2" t="s">
        <v>109</v>
      </c>
      <c r="F12" s="3">
        <v>0</v>
      </c>
      <c r="G12" s="3">
        <v>0</v>
      </c>
      <c r="H12" s="3">
        <v>13208</v>
      </c>
      <c r="I12" s="3">
        <v>7372</v>
      </c>
      <c r="J12" s="3">
        <f t="shared" si="0"/>
        <v>5836</v>
      </c>
      <c r="K12" s="24" t="s">
        <v>18</v>
      </c>
      <c r="L12" s="24" t="s">
        <v>110</v>
      </c>
      <c r="M12" s="64"/>
    </row>
    <row r="13" spans="1:13" s="52" customFormat="1" ht="101.25" customHeight="1">
      <c r="A13" s="50">
        <v>9</v>
      </c>
      <c r="B13" s="16" t="s">
        <v>102</v>
      </c>
      <c r="C13" s="12" t="s">
        <v>343</v>
      </c>
      <c r="D13" s="1" t="s">
        <v>234</v>
      </c>
      <c r="E13" s="2" t="s">
        <v>109</v>
      </c>
      <c r="F13" s="3">
        <v>0</v>
      </c>
      <c r="G13" s="3">
        <v>0</v>
      </c>
      <c r="H13" s="3">
        <v>8040</v>
      </c>
      <c r="I13" s="3">
        <v>3346</v>
      </c>
      <c r="J13" s="3">
        <f t="shared" si="0"/>
        <v>4694</v>
      </c>
      <c r="K13" s="24" t="s">
        <v>18</v>
      </c>
      <c r="L13" s="24" t="s">
        <v>110</v>
      </c>
      <c r="M13" s="64"/>
    </row>
    <row r="14" spans="1:13" s="52" customFormat="1" ht="127.5" customHeight="1">
      <c r="A14" s="50">
        <v>10</v>
      </c>
      <c r="B14" s="16" t="s">
        <v>102</v>
      </c>
      <c r="C14" s="12" t="s">
        <v>82</v>
      </c>
      <c r="D14" s="1" t="s">
        <v>126</v>
      </c>
      <c r="E14" s="2">
        <f>(F14+G14)/H14</f>
        <v>0.2816631299161033</v>
      </c>
      <c r="F14" s="4">
        <v>204061</v>
      </c>
      <c r="G14" s="4">
        <v>30343</v>
      </c>
      <c r="H14" s="4">
        <v>832214</v>
      </c>
      <c r="I14" s="4">
        <v>269645</v>
      </c>
      <c r="J14" s="4">
        <f t="shared" si="0"/>
        <v>562569</v>
      </c>
      <c r="K14" s="22" t="s">
        <v>59</v>
      </c>
      <c r="L14" s="22" t="s">
        <v>48</v>
      </c>
      <c r="M14" s="64"/>
    </row>
    <row r="15" spans="1:13" s="52" customFormat="1" ht="99.75" customHeight="1">
      <c r="A15" s="50">
        <v>11</v>
      </c>
      <c r="B15" s="16" t="s">
        <v>102</v>
      </c>
      <c r="C15" s="12" t="s">
        <v>327</v>
      </c>
      <c r="D15" s="12" t="s">
        <v>148</v>
      </c>
      <c r="E15" s="2">
        <f aca="true" t="shared" si="1" ref="E15:E33">(F15+G15)/H15</f>
        <v>0.46263952724885093</v>
      </c>
      <c r="F15" s="4">
        <v>30965</v>
      </c>
      <c r="G15" s="4">
        <v>742</v>
      </c>
      <c r="H15" s="4">
        <v>68535</v>
      </c>
      <c r="I15" s="4">
        <v>0</v>
      </c>
      <c r="J15" s="4">
        <f t="shared" si="0"/>
        <v>68535</v>
      </c>
      <c r="K15" s="25" t="s">
        <v>22</v>
      </c>
      <c r="L15" s="23" t="s">
        <v>49</v>
      </c>
      <c r="M15" s="64"/>
    </row>
    <row r="16" spans="1:13" s="52" customFormat="1" ht="108.75" customHeight="1">
      <c r="A16" s="50">
        <v>12</v>
      </c>
      <c r="B16" s="16" t="s">
        <v>102</v>
      </c>
      <c r="C16" s="1" t="s">
        <v>349</v>
      </c>
      <c r="D16" s="12" t="s">
        <v>235</v>
      </c>
      <c r="E16" s="2">
        <f>(F16+G16)/H16</f>
        <v>0.4519164324872161</v>
      </c>
      <c r="F16" s="3">
        <v>110663</v>
      </c>
      <c r="G16" s="3">
        <v>7054</v>
      </c>
      <c r="H16" s="3">
        <v>260484</v>
      </c>
      <c r="I16" s="3">
        <v>32099</v>
      </c>
      <c r="J16" s="3">
        <f t="shared" si="0"/>
        <v>228385</v>
      </c>
      <c r="K16" s="22" t="s">
        <v>149</v>
      </c>
      <c r="L16" s="22" t="s">
        <v>50</v>
      </c>
      <c r="M16" s="64"/>
    </row>
    <row r="17" spans="1:13" s="52" customFormat="1" ht="133.5" customHeight="1">
      <c r="A17" s="50">
        <v>13</v>
      </c>
      <c r="B17" s="16" t="s">
        <v>94</v>
      </c>
      <c r="C17" s="12" t="s">
        <v>306</v>
      </c>
      <c r="D17" s="1" t="s">
        <v>136</v>
      </c>
      <c r="E17" s="2">
        <f t="shared" si="1"/>
        <v>0.14766702183996785</v>
      </c>
      <c r="F17" s="3">
        <v>19693</v>
      </c>
      <c r="G17" s="3">
        <v>3451</v>
      </c>
      <c r="H17" s="3">
        <v>156731</v>
      </c>
      <c r="I17" s="3">
        <v>66403</v>
      </c>
      <c r="J17" s="3">
        <f t="shared" si="0"/>
        <v>90328</v>
      </c>
      <c r="K17" s="22" t="s">
        <v>137</v>
      </c>
      <c r="L17" s="22" t="s">
        <v>204</v>
      </c>
      <c r="M17" s="64"/>
    </row>
    <row r="18" spans="1:13" s="52" customFormat="1" ht="135.75" customHeight="1">
      <c r="A18" s="50">
        <v>14</v>
      </c>
      <c r="B18" s="16" t="s">
        <v>94</v>
      </c>
      <c r="C18" s="12" t="s">
        <v>307</v>
      </c>
      <c r="D18" s="1" t="s">
        <v>236</v>
      </c>
      <c r="E18" s="2">
        <f>(F18+G18)/H18</f>
        <v>0.14652383502945904</v>
      </c>
      <c r="F18" s="3">
        <v>6614</v>
      </c>
      <c r="G18" s="3">
        <v>225</v>
      </c>
      <c r="H18" s="3">
        <v>46675</v>
      </c>
      <c r="I18" s="53">
        <v>20474</v>
      </c>
      <c r="J18" s="53">
        <f t="shared" si="0"/>
        <v>26201</v>
      </c>
      <c r="K18" s="22" t="s">
        <v>308</v>
      </c>
      <c r="L18" s="22" t="s">
        <v>118</v>
      </c>
      <c r="M18" s="64"/>
    </row>
    <row r="19" spans="1:13" s="52" customFormat="1" ht="114" customHeight="1">
      <c r="A19" s="50">
        <v>15</v>
      </c>
      <c r="B19" s="16" t="s">
        <v>94</v>
      </c>
      <c r="C19" s="12" t="s">
        <v>193</v>
      </c>
      <c r="D19" s="1" t="s">
        <v>237</v>
      </c>
      <c r="E19" s="2">
        <f t="shared" si="1"/>
        <v>0.24840915566530536</v>
      </c>
      <c r="F19" s="3">
        <v>9794</v>
      </c>
      <c r="G19" s="3">
        <v>668</v>
      </c>
      <c r="H19" s="3">
        <v>42116</v>
      </c>
      <c r="I19" s="53">
        <v>22290</v>
      </c>
      <c r="J19" s="53">
        <f t="shared" si="0"/>
        <v>19826</v>
      </c>
      <c r="K19" s="22" t="s">
        <v>58</v>
      </c>
      <c r="L19" s="22" t="s">
        <v>118</v>
      </c>
      <c r="M19" s="64"/>
    </row>
    <row r="20" spans="1:13" s="52" customFormat="1" ht="96" customHeight="1">
      <c r="A20" s="50">
        <v>16</v>
      </c>
      <c r="B20" s="16" t="s">
        <v>94</v>
      </c>
      <c r="C20" s="12" t="s">
        <v>194</v>
      </c>
      <c r="D20" s="1" t="s">
        <v>43</v>
      </c>
      <c r="E20" s="2">
        <f t="shared" si="1"/>
        <v>0.11102719033232629</v>
      </c>
      <c r="F20" s="3">
        <v>4410</v>
      </c>
      <c r="G20" s="3">
        <v>0</v>
      </c>
      <c r="H20" s="3">
        <v>39720</v>
      </c>
      <c r="I20" s="3">
        <v>12405</v>
      </c>
      <c r="J20" s="3">
        <f t="shared" si="0"/>
        <v>27315</v>
      </c>
      <c r="K20" s="22" t="s">
        <v>23</v>
      </c>
      <c r="L20" s="22" t="s">
        <v>110</v>
      </c>
      <c r="M20" s="64"/>
    </row>
    <row r="21" spans="1:13" s="52" customFormat="1" ht="108" customHeight="1">
      <c r="A21" s="50">
        <v>17</v>
      </c>
      <c r="B21" s="16" t="s">
        <v>94</v>
      </c>
      <c r="C21" s="12" t="s">
        <v>195</v>
      </c>
      <c r="D21" s="12" t="s">
        <v>117</v>
      </c>
      <c r="E21" s="2">
        <f>(F21+G21)/H21</f>
        <v>0.09286859860634886</v>
      </c>
      <c r="F21" s="3">
        <v>8582</v>
      </c>
      <c r="G21" s="3">
        <v>4852</v>
      </c>
      <c r="H21" s="3">
        <v>144656</v>
      </c>
      <c r="I21" s="3">
        <v>65184</v>
      </c>
      <c r="J21" s="3">
        <f t="shared" si="0"/>
        <v>79472</v>
      </c>
      <c r="K21" s="22" t="s">
        <v>68</v>
      </c>
      <c r="L21" s="22" t="s">
        <v>118</v>
      </c>
      <c r="M21" s="64"/>
    </row>
    <row r="22" spans="1:13" s="52" customFormat="1" ht="143.25" customHeight="1">
      <c r="A22" s="50">
        <v>18</v>
      </c>
      <c r="B22" s="16" t="s">
        <v>94</v>
      </c>
      <c r="C22" s="12" t="s">
        <v>196</v>
      </c>
      <c r="D22" s="12" t="s">
        <v>329</v>
      </c>
      <c r="E22" s="2">
        <f t="shared" si="1"/>
        <v>0.1663339683860774</v>
      </c>
      <c r="F22" s="57">
        <v>13495</v>
      </c>
      <c r="G22" s="57">
        <v>12086</v>
      </c>
      <c r="H22" s="57">
        <v>153793</v>
      </c>
      <c r="I22" s="58">
        <v>68763</v>
      </c>
      <c r="J22" s="58">
        <f t="shared" si="0"/>
        <v>85030</v>
      </c>
      <c r="K22" s="59" t="s">
        <v>63</v>
      </c>
      <c r="L22" s="22" t="s">
        <v>118</v>
      </c>
      <c r="M22" s="64"/>
    </row>
    <row r="23" spans="1:13" s="52" customFormat="1" ht="141.75" customHeight="1">
      <c r="A23" s="50">
        <v>19</v>
      </c>
      <c r="B23" s="16" t="s">
        <v>94</v>
      </c>
      <c r="C23" s="12" t="s">
        <v>197</v>
      </c>
      <c r="D23" s="12" t="s">
        <v>329</v>
      </c>
      <c r="E23" s="2">
        <f t="shared" si="1"/>
        <v>0.24864079684581863</v>
      </c>
      <c r="F23" s="3">
        <v>3297</v>
      </c>
      <c r="G23" s="3">
        <v>2694</v>
      </c>
      <c r="H23" s="3">
        <v>24095</v>
      </c>
      <c r="I23" s="3">
        <v>14219</v>
      </c>
      <c r="J23" s="3">
        <f t="shared" si="0"/>
        <v>9876</v>
      </c>
      <c r="K23" s="22" t="s">
        <v>64</v>
      </c>
      <c r="L23" s="22" t="s">
        <v>118</v>
      </c>
      <c r="M23" s="64"/>
    </row>
    <row r="24" spans="1:13" s="52" customFormat="1" ht="142.5" customHeight="1">
      <c r="A24" s="50">
        <v>20</v>
      </c>
      <c r="B24" s="16" t="s">
        <v>94</v>
      </c>
      <c r="C24" s="12" t="s">
        <v>309</v>
      </c>
      <c r="D24" s="1" t="s">
        <v>330</v>
      </c>
      <c r="E24" s="2">
        <f t="shared" si="1"/>
        <v>0.34688868976503384</v>
      </c>
      <c r="F24" s="3">
        <v>20003</v>
      </c>
      <c r="G24" s="3">
        <v>49680</v>
      </c>
      <c r="H24" s="3">
        <v>200880</v>
      </c>
      <c r="I24" s="3">
        <v>75908</v>
      </c>
      <c r="J24" s="3">
        <f t="shared" si="0"/>
        <v>124972</v>
      </c>
      <c r="K24" s="22" t="s">
        <v>55</v>
      </c>
      <c r="L24" s="22" t="s">
        <v>46</v>
      </c>
      <c r="M24" s="64"/>
    </row>
    <row r="25" spans="1:13" s="52" customFormat="1" ht="151.5" customHeight="1">
      <c r="A25" s="50">
        <v>21</v>
      </c>
      <c r="B25" s="16" t="s">
        <v>94</v>
      </c>
      <c r="C25" s="12" t="s">
        <v>199</v>
      </c>
      <c r="D25" s="1" t="s">
        <v>138</v>
      </c>
      <c r="E25" s="2">
        <f t="shared" si="1"/>
        <v>0.3266978822114352</v>
      </c>
      <c r="F25" s="3">
        <v>65110</v>
      </c>
      <c r="G25" s="3">
        <v>10942</v>
      </c>
      <c r="H25" s="3">
        <v>232790</v>
      </c>
      <c r="I25" s="3">
        <v>44258</v>
      </c>
      <c r="J25" s="3">
        <f t="shared" si="0"/>
        <v>188532</v>
      </c>
      <c r="K25" s="22" t="s">
        <v>24</v>
      </c>
      <c r="L25" s="22" t="s">
        <v>47</v>
      </c>
      <c r="M25" s="64"/>
    </row>
    <row r="26" spans="1:13" s="52" customFormat="1" ht="154.5" customHeight="1">
      <c r="A26" s="50">
        <v>22</v>
      </c>
      <c r="B26" s="16" t="s">
        <v>94</v>
      </c>
      <c r="C26" s="12" t="s">
        <v>200</v>
      </c>
      <c r="D26" s="1" t="s">
        <v>331</v>
      </c>
      <c r="E26" s="2">
        <f t="shared" si="1"/>
        <v>0.48799928124037373</v>
      </c>
      <c r="F26" s="3">
        <v>209134</v>
      </c>
      <c r="G26" s="3">
        <v>95034</v>
      </c>
      <c r="H26" s="3">
        <v>623296</v>
      </c>
      <c r="I26" s="3">
        <v>191621</v>
      </c>
      <c r="J26" s="3">
        <f t="shared" si="0"/>
        <v>431675</v>
      </c>
      <c r="K26" s="22" t="s">
        <v>56</v>
      </c>
      <c r="L26" s="22" t="s">
        <v>41</v>
      </c>
      <c r="M26" s="64"/>
    </row>
    <row r="27" spans="1:13" s="52" customFormat="1" ht="309" customHeight="1">
      <c r="A27" s="50">
        <v>23</v>
      </c>
      <c r="B27" s="16" t="s">
        <v>101</v>
      </c>
      <c r="C27" s="1" t="s">
        <v>318</v>
      </c>
      <c r="D27" s="12" t="s">
        <v>129</v>
      </c>
      <c r="E27" s="2">
        <f t="shared" si="1"/>
        <v>0.39094571264147326</v>
      </c>
      <c r="F27" s="3">
        <v>1676</v>
      </c>
      <c r="G27" s="3">
        <v>362</v>
      </c>
      <c r="H27" s="3">
        <v>5213</v>
      </c>
      <c r="I27" s="3">
        <v>316</v>
      </c>
      <c r="J27" s="3">
        <f t="shared" si="0"/>
        <v>4897</v>
      </c>
      <c r="K27" s="22" t="s">
        <v>310</v>
      </c>
      <c r="L27" s="22" t="s">
        <v>214</v>
      </c>
      <c r="M27" s="64"/>
    </row>
    <row r="28" spans="1:13" s="52" customFormat="1" ht="97.5" customHeight="1">
      <c r="A28" s="50">
        <v>24</v>
      </c>
      <c r="B28" s="16" t="s">
        <v>101</v>
      </c>
      <c r="C28" s="1" t="s">
        <v>321</v>
      </c>
      <c r="D28" s="12" t="s">
        <v>130</v>
      </c>
      <c r="E28" s="2">
        <f t="shared" si="1"/>
        <v>0.48349581106404077</v>
      </c>
      <c r="F28" s="3">
        <v>63596</v>
      </c>
      <c r="G28" s="3">
        <v>2714</v>
      </c>
      <c r="H28" s="3">
        <v>137147</v>
      </c>
      <c r="I28" s="3">
        <v>45964</v>
      </c>
      <c r="J28" s="3">
        <f t="shared" si="0"/>
        <v>91183</v>
      </c>
      <c r="K28" s="22" t="s">
        <v>131</v>
      </c>
      <c r="L28" s="22" t="s">
        <v>215</v>
      </c>
      <c r="M28" s="64"/>
    </row>
    <row r="29" spans="1:13" s="52" customFormat="1" ht="153" customHeight="1">
      <c r="A29" s="50">
        <v>25</v>
      </c>
      <c r="B29" s="16" t="s">
        <v>97</v>
      </c>
      <c r="C29" s="1" t="s">
        <v>3</v>
      </c>
      <c r="D29" s="1" t="s">
        <v>122</v>
      </c>
      <c r="E29" s="2">
        <f t="shared" si="1"/>
        <v>0.08493685183283704</v>
      </c>
      <c r="F29" s="3">
        <v>2254</v>
      </c>
      <c r="G29" s="3">
        <v>1882</v>
      </c>
      <c r="H29" s="3">
        <v>48695</v>
      </c>
      <c r="I29" s="3">
        <v>25282</v>
      </c>
      <c r="J29" s="3">
        <f t="shared" si="0"/>
        <v>23413</v>
      </c>
      <c r="K29" s="22" t="s">
        <v>216</v>
      </c>
      <c r="L29" s="22" t="s">
        <v>217</v>
      </c>
      <c r="M29" s="64"/>
    </row>
    <row r="30" spans="1:13" s="52" customFormat="1" ht="127.5" customHeight="1">
      <c r="A30" s="50">
        <v>26</v>
      </c>
      <c r="B30" s="16" t="s">
        <v>97</v>
      </c>
      <c r="C30" s="1" t="s">
        <v>245</v>
      </c>
      <c r="D30" s="1" t="s">
        <v>123</v>
      </c>
      <c r="E30" s="2">
        <f t="shared" si="1"/>
        <v>0.19697187347372655</v>
      </c>
      <c r="F30" s="3">
        <v>3885</v>
      </c>
      <c r="G30" s="3">
        <v>9827</v>
      </c>
      <c r="H30" s="3">
        <v>69614</v>
      </c>
      <c r="I30" s="3">
        <v>22968</v>
      </c>
      <c r="J30" s="3">
        <f t="shared" si="0"/>
        <v>46646</v>
      </c>
      <c r="K30" s="22" t="s">
        <v>218</v>
      </c>
      <c r="L30" s="22" t="s">
        <v>219</v>
      </c>
      <c r="M30" s="64"/>
    </row>
    <row r="31" spans="1:13" s="52" customFormat="1" ht="210.75" customHeight="1">
      <c r="A31" s="50">
        <v>27</v>
      </c>
      <c r="B31" s="16" t="s">
        <v>97</v>
      </c>
      <c r="C31" s="1" t="s">
        <v>341</v>
      </c>
      <c r="D31" s="1" t="s">
        <v>123</v>
      </c>
      <c r="E31" s="2">
        <f>(F31+G31)/H31</f>
        <v>0.15108679306395825</v>
      </c>
      <c r="F31" s="3">
        <v>13061</v>
      </c>
      <c r="G31" s="3">
        <v>0</v>
      </c>
      <c r="H31" s="3">
        <v>86447</v>
      </c>
      <c r="I31" s="3">
        <v>29147</v>
      </c>
      <c r="J31" s="3">
        <f t="shared" si="0"/>
        <v>57300</v>
      </c>
      <c r="K31" s="22" t="s">
        <v>107</v>
      </c>
      <c r="L31" s="22" t="s">
        <v>220</v>
      </c>
      <c r="M31" s="64"/>
    </row>
    <row r="32" spans="1:13" s="52" customFormat="1" ht="132.75" customHeight="1">
      <c r="A32" s="50">
        <v>28</v>
      </c>
      <c r="B32" s="16" t="s">
        <v>97</v>
      </c>
      <c r="C32" s="1" t="s">
        <v>5</v>
      </c>
      <c r="D32" s="1" t="s">
        <v>230</v>
      </c>
      <c r="E32" s="2">
        <f t="shared" si="1"/>
        <v>0.09431144710439125</v>
      </c>
      <c r="F32" s="3">
        <v>4042</v>
      </c>
      <c r="G32" s="3">
        <v>0</v>
      </c>
      <c r="H32" s="3">
        <v>42858</v>
      </c>
      <c r="I32" s="3">
        <v>22966</v>
      </c>
      <c r="J32" s="3">
        <f t="shared" si="0"/>
        <v>19892</v>
      </c>
      <c r="K32" s="22" t="s">
        <v>221</v>
      </c>
      <c r="L32" s="22" t="s">
        <v>110</v>
      </c>
      <c r="M32" s="64"/>
    </row>
    <row r="33" spans="1:13" s="52" customFormat="1" ht="131.25" customHeight="1">
      <c r="A33" s="50">
        <v>29</v>
      </c>
      <c r="B33" s="16" t="s">
        <v>97</v>
      </c>
      <c r="C33" s="12" t="s">
        <v>6</v>
      </c>
      <c r="D33" s="1" t="s">
        <v>222</v>
      </c>
      <c r="E33" s="2">
        <f t="shared" si="1"/>
        <v>0.31933984938311166</v>
      </c>
      <c r="F33" s="3">
        <v>113478</v>
      </c>
      <c r="G33" s="3">
        <v>10088</v>
      </c>
      <c r="H33" s="3">
        <v>386942</v>
      </c>
      <c r="I33" s="3">
        <v>137426</v>
      </c>
      <c r="J33" s="3">
        <f t="shared" si="0"/>
        <v>249516</v>
      </c>
      <c r="K33" s="22" t="s">
        <v>25</v>
      </c>
      <c r="L33" s="22" t="s">
        <v>39</v>
      </c>
      <c r="M33" s="64"/>
    </row>
    <row r="34" spans="1:13" s="52" customFormat="1" ht="104.25" customHeight="1">
      <c r="A34" s="50">
        <v>30</v>
      </c>
      <c r="B34" s="16" t="s">
        <v>93</v>
      </c>
      <c r="C34" s="12" t="s">
        <v>314</v>
      </c>
      <c r="D34" s="1" t="s">
        <v>111</v>
      </c>
      <c r="E34" s="60">
        <f>(F34+G34)/H34</f>
        <v>0.0019860973187686196</v>
      </c>
      <c r="F34" s="3">
        <v>36</v>
      </c>
      <c r="G34" s="3">
        <v>0</v>
      </c>
      <c r="H34" s="3">
        <v>18126</v>
      </c>
      <c r="I34" s="3">
        <v>9786</v>
      </c>
      <c r="J34" s="3">
        <f t="shared" si="0"/>
        <v>8340</v>
      </c>
      <c r="K34" s="22" t="s">
        <v>303</v>
      </c>
      <c r="L34" s="22" t="s">
        <v>110</v>
      </c>
      <c r="M34" s="64"/>
    </row>
    <row r="35" spans="1:13" s="52" customFormat="1" ht="90" customHeight="1">
      <c r="A35" s="50">
        <v>31</v>
      </c>
      <c r="B35" s="16" t="s">
        <v>93</v>
      </c>
      <c r="C35" s="12" t="s">
        <v>72</v>
      </c>
      <c r="D35" s="1" t="s">
        <v>42</v>
      </c>
      <c r="E35" s="63" t="s">
        <v>340</v>
      </c>
      <c r="F35" s="3">
        <v>0</v>
      </c>
      <c r="G35" s="3">
        <v>0</v>
      </c>
      <c r="H35" s="3">
        <v>73388</v>
      </c>
      <c r="I35" s="3">
        <v>45419</v>
      </c>
      <c r="J35" s="3">
        <f t="shared" si="0"/>
        <v>27969</v>
      </c>
      <c r="K35" s="24" t="s">
        <v>18</v>
      </c>
      <c r="L35" s="24" t="s">
        <v>110</v>
      </c>
      <c r="M35" s="64"/>
    </row>
    <row r="36" spans="1:13" s="52" customFormat="1" ht="148.5" customHeight="1">
      <c r="A36" s="50">
        <v>32</v>
      </c>
      <c r="B36" s="16" t="s">
        <v>93</v>
      </c>
      <c r="C36" s="12" t="s">
        <v>348</v>
      </c>
      <c r="D36" s="1" t="s">
        <v>112</v>
      </c>
      <c r="E36" s="2">
        <f>(F36+G36)/H36</f>
        <v>0.6044876820553026</v>
      </c>
      <c r="F36" s="3">
        <v>147543</v>
      </c>
      <c r="G36" s="3">
        <v>12830</v>
      </c>
      <c r="H36" s="3">
        <v>265304</v>
      </c>
      <c r="I36" s="3">
        <v>61052</v>
      </c>
      <c r="J36" s="3">
        <f aca="true" t="shared" si="2" ref="J36:J44">H36-I36</f>
        <v>204252</v>
      </c>
      <c r="K36" s="22" t="s">
        <v>108</v>
      </c>
      <c r="L36" s="22" t="s">
        <v>44</v>
      </c>
      <c r="M36" s="64"/>
    </row>
    <row r="37" spans="1:13" s="52" customFormat="1" ht="143.25" customHeight="1">
      <c r="A37" s="50">
        <v>33</v>
      </c>
      <c r="B37" s="16" t="s">
        <v>93</v>
      </c>
      <c r="C37" s="12" t="s">
        <v>339</v>
      </c>
      <c r="D37" s="1" t="s">
        <v>114</v>
      </c>
      <c r="E37" s="2">
        <f>(F37+G37)/H37</f>
        <v>0.2519986967745169</v>
      </c>
      <c r="F37" s="61">
        <v>20110</v>
      </c>
      <c r="G37" s="61">
        <v>0</v>
      </c>
      <c r="H37" s="61">
        <v>79802</v>
      </c>
      <c r="I37" s="61">
        <v>45366</v>
      </c>
      <c r="J37" s="61">
        <f t="shared" si="2"/>
        <v>34436</v>
      </c>
      <c r="K37" s="22" t="s">
        <v>20</v>
      </c>
      <c r="L37" s="22" t="s">
        <v>110</v>
      </c>
      <c r="M37" s="64"/>
    </row>
    <row r="38" spans="1:13" s="52" customFormat="1" ht="225.75" customHeight="1">
      <c r="A38" s="50">
        <v>34</v>
      </c>
      <c r="B38" s="16" t="s">
        <v>93</v>
      </c>
      <c r="C38" s="12" t="s">
        <v>246</v>
      </c>
      <c r="D38" s="1" t="s">
        <v>115</v>
      </c>
      <c r="E38" s="2">
        <f>(F38+G38)/H38</f>
        <v>0.26623626852198884</v>
      </c>
      <c r="F38" s="3">
        <v>23373</v>
      </c>
      <c r="G38" s="3">
        <v>77497</v>
      </c>
      <c r="H38" s="53">
        <v>378874</v>
      </c>
      <c r="I38" s="3">
        <v>122194</v>
      </c>
      <c r="J38" s="3">
        <f t="shared" si="2"/>
        <v>256680</v>
      </c>
      <c r="K38" s="22" t="s">
        <v>21</v>
      </c>
      <c r="L38" s="22" t="s">
        <v>190</v>
      </c>
      <c r="M38" s="64"/>
    </row>
    <row r="39" spans="1:13" s="52" customFormat="1" ht="105.75" customHeight="1">
      <c r="A39" s="50">
        <v>35</v>
      </c>
      <c r="B39" s="16" t="s">
        <v>93</v>
      </c>
      <c r="C39" s="1" t="s">
        <v>305</v>
      </c>
      <c r="D39" s="1" t="s">
        <v>202</v>
      </c>
      <c r="E39" s="2">
        <f>(F39+G39)/H39</f>
        <v>0.13886156692798363</v>
      </c>
      <c r="F39" s="3">
        <v>7273</v>
      </c>
      <c r="G39" s="3">
        <v>6986</v>
      </c>
      <c r="H39" s="3">
        <v>102685</v>
      </c>
      <c r="I39" s="3">
        <v>17250</v>
      </c>
      <c r="J39" s="3">
        <f t="shared" si="2"/>
        <v>85435</v>
      </c>
      <c r="K39" s="22" t="s">
        <v>223</v>
      </c>
      <c r="L39" s="22" t="s">
        <v>224</v>
      </c>
      <c r="M39" s="64"/>
    </row>
    <row r="40" spans="1:13" s="52" customFormat="1" ht="86.25" customHeight="1">
      <c r="A40" s="50">
        <v>36</v>
      </c>
      <c r="B40" s="16" t="s">
        <v>93</v>
      </c>
      <c r="C40" s="12" t="s">
        <v>261</v>
      </c>
      <c r="D40" s="1" t="s">
        <v>71</v>
      </c>
      <c r="E40" s="2" t="s">
        <v>335</v>
      </c>
      <c r="F40" s="3">
        <v>0</v>
      </c>
      <c r="G40" s="3">
        <v>0</v>
      </c>
      <c r="H40" s="3">
        <v>4178</v>
      </c>
      <c r="I40" s="3">
        <v>2812</v>
      </c>
      <c r="J40" s="3">
        <f t="shared" si="2"/>
        <v>1366</v>
      </c>
      <c r="K40" s="24" t="s">
        <v>18</v>
      </c>
      <c r="L40" s="24" t="s">
        <v>110</v>
      </c>
      <c r="M40" s="64"/>
    </row>
    <row r="41" spans="1:13" s="52" customFormat="1" ht="109.5" customHeight="1">
      <c r="A41" s="50">
        <v>37</v>
      </c>
      <c r="B41" s="16" t="s">
        <v>93</v>
      </c>
      <c r="C41" s="1" t="s">
        <v>247</v>
      </c>
      <c r="D41" s="1" t="s">
        <v>203</v>
      </c>
      <c r="E41" s="2">
        <f>(F41+G41)/H41</f>
        <v>0.32526574168452144</v>
      </c>
      <c r="F41" s="3">
        <v>62546</v>
      </c>
      <c r="G41" s="3">
        <v>0</v>
      </c>
      <c r="H41" s="3">
        <v>192292</v>
      </c>
      <c r="I41" s="3">
        <v>96076</v>
      </c>
      <c r="J41" s="3">
        <f t="shared" si="2"/>
        <v>96216</v>
      </c>
      <c r="K41" s="22" t="s">
        <v>225</v>
      </c>
      <c r="L41" s="22" t="s">
        <v>226</v>
      </c>
      <c r="M41" s="64"/>
    </row>
    <row r="42" spans="1:13" s="52" customFormat="1" ht="92.25" customHeight="1">
      <c r="A42" s="50">
        <v>38</v>
      </c>
      <c r="B42" s="16" t="s">
        <v>93</v>
      </c>
      <c r="C42" s="12" t="s">
        <v>74</v>
      </c>
      <c r="D42" s="12" t="s">
        <v>116</v>
      </c>
      <c r="E42" s="2">
        <f aca="true" t="shared" si="3" ref="E42:E48">(F42+G42)/H42</f>
        <v>0.38469263850240326</v>
      </c>
      <c r="F42" s="3">
        <v>152069</v>
      </c>
      <c r="G42" s="3">
        <v>0</v>
      </c>
      <c r="H42" s="3">
        <v>395300</v>
      </c>
      <c r="I42" s="3">
        <v>34911</v>
      </c>
      <c r="J42" s="3">
        <f t="shared" si="2"/>
        <v>360389</v>
      </c>
      <c r="K42" s="18" t="s">
        <v>67</v>
      </c>
      <c r="L42" s="18" t="s">
        <v>110</v>
      </c>
      <c r="M42" s="64"/>
    </row>
    <row r="43" spans="1:13" s="52" customFormat="1" ht="67.5" customHeight="1">
      <c r="A43" s="50">
        <v>39</v>
      </c>
      <c r="B43" s="16" t="s">
        <v>93</v>
      </c>
      <c r="C43" s="12" t="s">
        <v>83</v>
      </c>
      <c r="D43" s="12" t="s">
        <v>143</v>
      </c>
      <c r="E43" s="2">
        <f>(F43+G43)/H43</f>
        <v>0.6557911908646004</v>
      </c>
      <c r="F43" s="3">
        <v>30150</v>
      </c>
      <c r="G43" s="3">
        <v>0</v>
      </c>
      <c r="H43" s="3">
        <v>45975</v>
      </c>
      <c r="I43" s="3">
        <v>8728</v>
      </c>
      <c r="J43" s="3">
        <f t="shared" si="2"/>
        <v>37247</v>
      </c>
      <c r="K43" s="22" t="s">
        <v>61</v>
      </c>
      <c r="L43" s="22" t="s">
        <v>110</v>
      </c>
      <c r="M43" s="64"/>
    </row>
    <row r="44" spans="1:13" s="52" customFormat="1" ht="107.25" customHeight="1">
      <c r="A44" s="50">
        <v>40</v>
      </c>
      <c r="B44" s="16" t="s">
        <v>93</v>
      </c>
      <c r="C44" s="1" t="s">
        <v>262</v>
      </c>
      <c r="D44" s="1" t="s">
        <v>139</v>
      </c>
      <c r="E44" s="2">
        <f t="shared" si="3"/>
        <v>0.47354582128010747</v>
      </c>
      <c r="F44" s="3">
        <v>319614</v>
      </c>
      <c r="G44" s="3">
        <v>4020</v>
      </c>
      <c r="H44" s="3">
        <v>683427</v>
      </c>
      <c r="I44" s="3">
        <v>331690</v>
      </c>
      <c r="J44" s="3">
        <f t="shared" si="2"/>
        <v>351737</v>
      </c>
      <c r="K44" s="22" t="s">
        <v>332</v>
      </c>
      <c r="L44" s="22" t="s">
        <v>110</v>
      </c>
      <c r="M44" s="64"/>
    </row>
    <row r="45" spans="1:13" s="52" customFormat="1" ht="92.25" customHeight="1">
      <c r="A45" s="50">
        <v>41</v>
      </c>
      <c r="B45" s="16" t="s">
        <v>93</v>
      </c>
      <c r="C45" s="12" t="s">
        <v>315</v>
      </c>
      <c r="D45" s="12" t="s">
        <v>344</v>
      </c>
      <c r="E45" s="2" t="s">
        <v>344</v>
      </c>
      <c r="F45" s="3" t="s">
        <v>344</v>
      </c>
      <c r="G45" s="3" t="s">
        <v>344</v>
      </c>
      <c r="H45" s="3" t="s">
        <v>344</v>
      </c>
      <c r="I45" s="3" t="s">
        <v>344</v>
      </c>
      <c r="J45" s="3" t="s">
        <v>344</v>
      </c>
      <c r="K45" s="22" t="s">
        <v>344</v>
      </c>
      <c r="L45" s="22" t="s">
        <v>344</v>
      </c>
      <c r="M45" s="64"/>
    </row>
    <row r="46" spans="1:13" s="52" customFormat="1" ht="92.25" customHeight="1">
      <c r="A46" s="50">
        <v>42</v>
      </c>
      <c r="B46" s="16" t="s">
        <v>93</v>
      </c>
      <c r="C46" s="12" t="s">
        <v>144</v>
      </c>
      <c r="D46" s="12" t="s">
        <v>145</v>
      </c>
      <c r="E46" s="2">
        <f t="shared" si="3"/>
        <v>0.9419060052219321</v>
      </c>
      <c r="F46" s="3">
        <v>32991</v>
      </c>
      <c r="G46" s="3">
        <v>198</v>
      </c>
      <c r="H46" s="3">
        <v>35236</v>
      </c>
      <c r="I46" s="3">
        <v>16461</v>
      </c>
      <c r="J46" s="3">
        <f aca="true" t="shared" si="4" ref="J46:J55">H46-I46</f>
        <v>18775</v>
      </c>
      <c r="K46" s="22" t="s">
        <v>35</v>
      </c>
      <c r="L46" s="22" t="s">
        <v>45</v>
      </c>
      <c r="M46" s="64"/>
    </row>
    <row r="47" spans="1:13" s="54" customFormat="1" ht="182.25" customHeight="1">
      <c r="A47" s="50">
        <v>43</v>
      </c>
      <c r="B47" s="16" t="s">
        <v>98</v>
      </c>
      <c r="C47" s="12" t="s">
        <v>7</v>
      </c>
      <c r="D47" s="1" t="s">
        <v>127</v>
      </c>
      <c r="E47" s="2">
        <f>(F47+G47)/H47</f>
        <v>0.2980706748607315</v>
      </c>
      <c r="F47" s="3">
        <v>372834</v>
      </c>
      <c r="G47" s="3">
        <v>52382</v>
      </c>
      <c r="H47" s="3">
        <v>1426561</v>
      </c>
      <c r="I47" s="3">
        <v>436663</v>
      </c>
      <c r="J47" s="3">
        <f t="shared" si="4"/>
        <v>989898</v>
      </c>
      <c r="K47" s="24" t="s">
        <v>301</v>
      </c>
      <c r="L47" s="22" t="s">
        <v>128</v>
      </c>
      <c r="M47" s="65"/>
    </row>
    <row r="48" spans="1:13" s="54" customFormat="1" ht="180" customHeight="1">
      <c r="A48" s="50">
        <v>44</v>
      </c>
      <c r="B48" s="16" t="s">
        <v>98</v>
      </c>
      <c r="C48" s="12" t="s">
        <v>342</v>
      </c>
      <c r="D48" s="1" t="s">
        <v>89</v>
      </c>
      <c r="E48" s="2">
        <f t="shared" si="3"/>
        <v>0.12576582302510114</v>
      </c>
      <c r="F48" s="3">
        <v>75762</v>
      </c>
      <c r="G48" s="3">
        <v>13678</v>
      </c>
      <c r="H48" s="3">
        <v>711163</v>
      </c>
      <c r="I48" s="3">
        <v>283288</v>
      </c>
      <c r="J48" s="3">
        <f t="shared" si="4"/>
        <v>427875</v>
      </c>
      <c r="K48" s="62" t="s">
        <v>322</v>
      </c>
      <c r="L48" s="22" t="s">
        <v>128</v>
      </c>
      <c r="M48" s="65"/>
    </row>
    <row r="49" spans="1:13" s="54" customFormat="1" ht="127.5" customHeight="1">
      <c r="A49" s="50">
        <v>45</v>
      </c>
      <c r="B49" s="16" t="s">
        <v>98</v>
      </c>
      <c r="C49" s="12" t="s">
        <v>9</v>
      </c>
      <c r="D49" s="1" t="s">
        <v>89</v>
      </c>
      <c r="E49" s="2" t="s">
        <v>109</v>
      </c>
      <c r="F49" s="3">
        <v>529</v>
      </c>
      <c r="G49" s="3">
        <v>0</v>
      </c>
      <c r="H49" s="3">
        <v>433844</v>
      </c>
      <c r="I49" s="3">
        <v>219372</v>
      </c>
      <c r="J49" s="3">
        <f t="shared" si="4"/>
        <v>214472</v>
      </c>
      <c r="K49" s="24" t="s">
        <v>18</v>
      </c>
      <c r="L49" s="24" t="s">
        <v>110</v>
      </c>
      <c r="M49" s="65"/>
    </row>
    <row r="50" spans="1:13" s="52" customFormat="1" ht="136.5" customHeight="1">
      <c r="A50" s="50">
        <v>46</v>
      </c>
      <c r="B50" s="16" t="s">
        <v>98</v>
      </c>
      <c r="C50" s="12" t="s">
        <v>347</v>
      </c>
      <c r="D50" s="1" t="s">
        <v>124</v>
      </c>
      <c r="E50" s="2">
        <f aca="true" t="shared" si="5" ref="E50:E57">(F50+G50)/H50</f>
        <v>0.5510430127376776</v>
      </c>
      <c r="F50" s="3">
        <v>2677</v>
      </c>
      <c r="G50" s="3">
        <v>308</v>
      </c>
      <c r="H50" s="3">
        <v>5417</v>
      </c>
      <c r="I50" s="3">
        <v>2089</v>
      </c>
      <c r="J50" s="3">
        <f t="shared" si="4"/>
        <v>3328</v>
      </c>
      <c r="K50" s="17" t="s">
        <v>26</v>
      </c>
      <c r="L50" s="18" t="s">
        <v>336</v>
      </c>
      <c r="M50" s="64"/>
    </row>
    <row r="51" spans="1:13" s="52" customFormat="1" ht="125.25" customHeight="1">
      <c r="A51" s="50">
        <v>47</v>
      </c>
      <c r="B51" s="16" t="s">
        <v>98</v>
      </c>
      <c r="C51" s="12" t="s">
        <v>252</v>
      </c>
      <c r="D51" s="1" t="s">
        <v>124</v>
      </c>
      <c r="E51" s="2">
        <f t="shared" si="5"/>
        <v>0.17572356763142352</v>
      </c>
      <c r="F51" s="3">
        <v>2380</v>
      </c>
      <c r="G51" s="3">
        <v>0</v>
      </c>
      <c r="H51" s="3">
        <v>13544</v>
      </c>
      <c r="I51" s="3">
        <v>4089</v>
      </c>
      <c r="J51" s="3">
        <f t="shared" si="4"/>
        <v>9455</v>
      </c>
      <c r="K51" s="17" t="s">
        <v>26</v>
      </c>
      <c r="L51" s="18" t="s">
        <v>337</v>
      </c>
      <c r="M51" s="64"/>
    </row>
    <row r="52" spans="1:13" s="52" customFormat="1" ht="81.75" customHeight="1">
      <c r="A52" s="50">
        <v>48</v>
      </c>
      <c r="B52" s="16" t="s">
        <v>98</v>
      </c>
      <c r="C52" s="12" t="s">
        <v>239</v>
      </c>
      <c r="D52" s="1" t="s">
        <v>124</v>
      </c>
      <c r="E52" s="2">
        <f>(F52+G52)/H52</f>
        <v>0.4152334152334152</v>
      </c>
      <c r="F52" s="3">
        <v>3943</v>
      </c>
      <c r="G52" s="3">
        <v>113</v>
      </c>
      <c r="H52" s="3">
        <v>9768</v>
      </c>
      <c r="I52" s="3">
        <v>6304</v>
      </c>
      <c r="J52" s="3">
        <f t="shared" si="4"/>
        <v>3464</v>
      </c>
      <c r="K52" s="22" t="s">
        <v>208</v>
      </c>
      <c r="L52" s="18" t="s">
        <v>110</v>
      </c>
      <c r="M52" s="64"/>
    </row>
    <row r="53" spans="1:13" s="52" customFormat="1" ht="90" customHeight="1">
      <c r="A53" s="50">
        <v>49</v>
      </c>
      <c r="B53" s="16" t="s">
        <v>98</v>
      </c>
      <c r="C53" s="12" t="s">
        <v>69</v>
      </c>
      <c r="D53" s="12" t="s">
        <v>240</v>
      </c>
      <c r="E53" s="2">
        <f t="shared" si="5"/>
        <v>0.2550512900217594</v>
      </c>
      <c r="F53" s="3">
        <v>1638</v>
      </c>
      <c r="G53" s="3">
        <v>3</v>
      </c>
      <c r="H53" s="3">
        <v>6434</v>
      </c>
      <c r="I53" s="3">
        <v>4264</v>
      </c>
      <c r="J53" s="3">
        <f t="shared" si="4"/>
        <v>2170</v>
      </c>
      <c r="K53" s="22" t="s">
        <v>70</v>
      </c>
      <c r="L53" s="24" t="s">
        <v>211</v>
      </c>
      <c r="M53" s="64"/>
    </row>
    <row r="54" spans="1:13" s="52" customFormat="1" ht="84.75" customHeight="1">
      <c r="A54" s="50">
        <v>50</v>
      </c>
      <c r="B54" s="16" t="s">
        <v>99</v>
      </c>
      <c r="C54" s="1" t="s">
        <v>13</v>
      </c>
      <c r="D54" s="1" t="s">
        <v>87</v>
      </c>
      <c r="E54" s="2">
        <f t="shared" si="5"/>
        <v>0.6620255471893886</v>
      </c>
      <c r="F54" s="3">
        <v>93620</v>
      </c>
      <c r="G54" s="3">
        <v>810</v>
      </c>
      <c r="H54" s="3">
        <v>142638</v>
      </c>
      <c r="I54" s="3">
        <v>49325</v>
      </c>
      <c r="J54" s="3">
        <f t="shared" si="4"/>
        <v>93313</v>
      </c>
      <c r="K54" s="22" t="s">
        <v>66</v>
      </c>
      <c r="L54" s="22" t="s">
        <v>91</v>
      </c>
      <c r="M54" s="64"/>
    </row>
    <row r="55" spans="1:13" s="52" customFormat="1" ht="96.75" customHeight="1">
      <c r="A55" s="50">
        <v>51</v>
      </c>
      <c r="B55" s="16" t="s">
        <v>99</v>
      </c>
      <c r="C55" s="1" t="s">
        <v>338</v>
      </c>
      <c r="D55" s="1" t="s">
        <v>88</v>
      </c>
      <c r="E55" s="2">
        <f>(F55+G55)/H55</f>
        <v>0.9104750304506699</v>
      </c>
      <c r="F55" s="3">
        <v>5951</v>
      </c>
      <c r="G55" s="3">
        <v>29</v>
      </c>
      <c r="H55" s="3">
        <v>6568</v>
      </c>
      <c r="I55" s="3">
        <v>3695</v>
      </c>
      <c r="J55" s="3">
        <f t="shared" si="4"/>
        <v>2873</v>
      </c>
      <c r="K55" s="18" t="s">
        <v>346</v>
      </c>
      <c r="L55" s="18" t="s">
        <v>189</v>
      </c>
      <c r="M55" s="64"/>
    </row>
    <row r="56" spans="1:13" s="52" customFormat="1" ht="96.75" customHeight="1">
      <c r="A56" s="50">
        <v>52</v>
      </c>
      <c r="B56" s="16" t="s">
        <v>99</v>
      </c>
      <c r="C56" s="1" t="s">
        <v>345</v>
      </c>
      <c r="D56" s="1" t="s">
        <v>344</v>
      </c>
      <c r="E56" s="2" t="s">
        <v>344</v>
      </c>
      <c r="F56" s="3" t="s">
        <v>344</v>
      </c>
      <c r="G56" s="3" t="s">
        <v>344</v>
      </c>
      <c r="H56" s="3" t="s">
        <v>344</v>
      </c>
      <c r="I56" s="3" t="s">
        <v>344</v>
      </c>
      <c r="J56" s="3" t="s">
        <v>344</v>
      </c>
      <c r="K56" s="18" t="s">
        <v>344</v>
      </c>
      <c r="L56" s="18" t="s">
        <v>344</v>
      </c>
      <c r="M56" s="64"/>
    </row>
    <row r="57" spans="1:13" s="52" customFormat="1" ht="86.25" customHeight="1">
      <c r="A57" s="50">
        <v>53</v>
      </c>
      <c r="B57" s="16" t="s">
        <v>99</v>
      </c>
      <c r="C57" s="1" t="s">
        <v>188</v>
      </c>
      <c r="D57" s="1" t="s">
        <v>142</v>
      </c>
      <c r="E57" s="2">
        <f t="shared" si="5"/>
        <v>1.4545268115846155</v>
      </c>
      <c r="F57" s="3">
        <v>200975</v>
      </c>
      <c r="G57" s="3">
        <v>18900</v>
      </c>
      <c r="H57" s="3">
        <v>151166</v>
      </c>
      <c r="I57" s="3">
        <v>92030</v>
      </c>
      <c r="J57" s="3">
        <f aca="true" t="shared" si="6" ref="J57:J63">H57-I57</f>
        <v>59136</v>
      </c>
      <c r="K57" s="22" t="s">
        <v>328</v>
      </c>
      <c r="L57" s="24" t="s">
        <v>110</v>
      </c>
      <c r="M57" s="64"/>
    </row>
    <row r="58" spans="1:13" s="52" customFormat="1" ht="85.5" customHeight="1">
      <c r="A58" s="50">
        <v>54</v>
      </c>
      <c r="B58" s="16" t="s">
        <v>92</v>
      </c>
      <c r="C58" s="12" t="s">
        <v>0</v>
      </c>
      <c r="D58" s="1" t="s">
        <v>37</v>
      </c>
      <c r="E58" s="2" t="s">
        <v>109</v>
      </c>
      <c r="F58" s="3">
        <v>0</v>
      </c>
      <c r="G58" s="3">
        <v>0</v>
      </c>
      <c r="H58" s="3">
        <v>30943</v>
      </c>
      <c r="I58" s="3">
        <v>20529</v>
      </c>
      <c r="J58" s="3">
        <f t="shared" si="6"/>
        <v>10414</v>
      </c>
      <c r="K58" s="17" t="s">
        <v>18</v>
      </c>
      <c r="L58" s="17" t="s">
        <v>110</v>
      </c>
      <c r="M58" s="64"/>
    </row>
    <row r="59" spans="1:13" s="52" customFormat="1" ht="107.25" customHeight="1">
      <c r="A59" s="50">
        <v>55</v>
      </c>
      <c r="B59" s="16" t="s">
        <v>95</v>
      </c>
      <c r="C59" s="1" t="s">
        <v>254</v>
      </c>
      <c r="D59" s="12" t="s">
        <v>120</v>
      </c>
      <c r="E59" s="2">
        <f>(F59+G59)/H59</f>
        <v>0.2494871794871795</v>
      </c>
      <c r="F59" s="3">
        <v>3837</v>
      </c>
      <c r="G59" s="61">
        <v>55</v>
      </c>
      <c r="H59" s="3">
        <v>15600</v>
      </c>
      <c r="I59" s="3">
        <v>10767</v>
      </c>
      <c r="J59" s="3">
        <f t="shared" si="6"/>
        <v>4833</v>
      </c>
      <c r="K59" s="22" t="s">
        <v>62</v>
      </c>
      <c r="L59" s="22" t="s">
        <v>110</v>
      </c>
      <c r="M59" s="64"/>
    </row>
    <row r="60" spans="1:13" s="52" customFormat="1" ht="125.25" customHeight="1">
      <c r="A60" s="50">
        <v>56</v>
      </c>
      <c r="B60" s="16" t="s">
        <v>96</v>
      </c>
      <c r="C60" s="1" t="s">
        <v>1</v>
      </c>
      <c r="D60" s="1" t="s">
        <v>121</v>
      </c>
      <c r="E60" s="2">
        <f>(F60+G60)/H60</f>
        <v>0.2177131015007629</v>
      </c>
      <c r="F60" s="3">
        <v>19120</v>
      </c>
      <c r="G60" s="3">
        <v>0</v>
      </c>
      <c r="H60" s="3">
        <v>87822</v>
      </c>
      <c r="I60" s="3">
        <v>31367</v>
      </c>
      <c r="J60" s="3">
        <f t="shared" si="6"/>
        <v>56455</v>
      </c>
      <c r="K60" s="22" t="s">
        <v>333</v>
      </c>
      <c r="L60" s="22" t="s">
        <v>110</v>
      </c>
      <c r="M60" s="64"/>
    </row>
    <row r="61" spans="1:13" s="52" customFormat="1" ht="123" customHeight="1">
      <c r="A61" s="50">
        <v>57</v>
      </c>
      <c r="B61" s="16" t="s">
        <v>96</v>
      </c>
      <c r="C61" s="1" t="s">
        <v>2</v>
      </c>
      <c r="D61" s="1" t="s">
        <v>121</v>
      </c>
      <c r="E61" s="2">
        <f>(F61+G61)/H61</f>
        <v>0.32530383171155164</v>
      </c>
      <c r="F61" s="3">
        <v>40284</v>
      </c>
      <c r="G61" s="3">
        <v>0</v>
      </c>
      <c r="H61" s="3">
        <v>123835</v>
      </c>
      <c r="I61" s="3">
        <v>38613</v>
      </c>
      <c r="J61" s="3">
        <f t="shared" si="6"/>
        <v>85222</v>
      </c>
      <c r="K61" s="22" t="s">
        <v>334</v>
      </c>
      <c r="L61" s="22" t="s">
        <v>110</v>
      </c>
      <c r="M61" s="64"/>
    </row>
    <row r="62" spans="1:13" s="52" customFormat="1" ht="97.5" customHeight="1">
      <c r="A62" s="50">
        <v>58</v>
      </c>
      <c r="B62" s="16" t="s">
        <v>96</v>
      </c>
      <c r="C62" s="12" t="s">
        <v>263</v>
      </c>
      <c r="D62" s="1" t="s">
        <v>234</v>
      </c>
      <c r="E62" s="2" t="s">
        <v>109</v>
      </c>
      <c r="F62" s="3">
        <v>0</v>
      </c>
      <c r="G62" s="3">
        <v>0</v>
      </c>
      <c r="H62" s="3">
        <v>9269</v>
      </c>
      <c r="I62" s="3">
        <v>5508</v>
      </c>
      <c r="J62" s="3">
        <f t="shared" si="6"/>
        <v>3761</v>
      </c>
      <c r="K62" s="22" t="s">
        <v>18</v>
      </c>
      <c r="L62" s="22" t="s">
        <v>110</v>
      </c>
      <c r="M62" s="64"/>
    </row>
    <row r="63" spans="1:13" s="52" customFormat="1" ht="108.75" customHeight="1">
      <c r="A63" s="50">
        <v>59</v>
      </c>
      <c r="B63" s="16" t="s">
        <v>96</v>
      </c>
      <c r="C63" s="12" t="s">
        <v>320</v>
      </c>
      <c r="D63" s="12" t="s">
        <v>146</v>
      </c>
      <c r="E63" s="2">
        <f>(F63+G63)/H63</f>
        <v>0.35878136981526665</v>
      </c>
      <c r="F63" s="3">
        <v>32939</v>
      </c>
      <c r="G63" s="3">
        <v>0</v>
      </c>
      <c r="H63" s="3">
        <v>91808</v>
      </c>
      <c r="I63" s="3">
        <v>33649</v>
      </c>
      <c r="J63" s="3">
        <f t="shared" si="6"/>
        <v>58159</v>
      </c>
      <c r="K63" s="22" t="s">
        <v>229</v>
      </c>
      <c r="L63" s="22" t="s">
        <v>110</v>
      </c>
      <c r="M63" s="64"/>
    </row>
    <row r="64" spans="1:7" ht="22.5">
      <c r="A64" s="5"/>
      <c r="B64" s="5"/>
      <c r="F64" s="9"/>
      <c r="G64" s="9"/>
    </row>
    <row r="65" spans="1:13" s="10" customFormat="1" ht="22.5">
      <c r="A65" s="5"/>
      <c r="B65" s="5"/>
      <c r="C65" s="6"/>
      <c r="D65" s="6"/>
      <c r="E65" s="8"/>
      <c r="F65" s="9"/>
      <c r="G65" s="9"/>
      <c r="K65" s="11"/>
      <c r="L65" s="11"/>
      <c r="M65" s="66"/>
    </row>
    <row r="66" spans="1:13" s="10" customFormat="1" ht="22.5">
      <c r="A66" s="5"/>
      <c r="B66" s="5"/>
      <c r="C66" s="6"/>
      <c r="D66" s="6"/>
      <c r="E66" s="8"/>
      <c r="F66" s="8"/>
      <c r="G66" s="8"/>
      <c r="K66" s="11"/>
      <c r="L66" s="11"/>
      <c r="M66" s="66"/>
    </row>
    <row r="67" spans="1:13" s="10" customFormat="1" ht="22.5">
      <c r="A67" s="5"/>
      <c r="B67" s="5"/>
      <c r="C67" s="6"/>
      <c r="D67" s="6"/>
      <c r="E67" s="8"/>
      <c r="F67" s="8"/>
      <c r="G67" s="8"/>
      <c r="K67" s="11"/>
      <c r="L67" s="11"/>
      <c r="M67" s="66"/>
    </row>
    <row r="68" spans="1:13" s="10" customFormat="1" ht="22.5">
      <c r="A68" s="5"/>
      <c r="B68" s="5"/>
      <c r="C68" s="6"/>
      <c r="D68" s="6"/>
      <c r="E68" s="8"/>
      <c r="F68" s="8"/>
      <c r="G68" s="8"/>
      <c r="K68" s="11"/>
      <c r="L68" s="11"/>
      <c r="M68" s="66"/>
    </row>
    <row r="69" spans="1:13" s="10" customFormat="1" ht="22.5">
      <c r="A69" s="5"/>
      <c r="B69" s="5"/>
      <c r="C69" s="6"/>
      <c r="D69" s="6"/>
      <c r="E69" s="8"/>
      <c r="F69" s="8"/>
      <c r="G69" s="8"/>
      <c r="K69" s="11"/>
      <c r="L69" s="11"/>
      <c r="M69" s="66"/>
    </row>
    <row r="70" spans="1:13" s="10" customFormat="1" ht="22.5">
      <c r="A70" s="5"/>
      <c r="B70" s="5"/>
      <c r="C70" s="6"/>
      <c r="D70" s="6"/>
      <c r="E70" s="8"/>
      <c r="F70" s="8"/>
      <c r="G70" s="8"/>
      <c r="K70" s="11"/>
      <c r="L70" s="11"/>
      <c r="M70" s="66"/>
    </row>
    <row r="71" spans="1:13" s="10" customFormat="1" ht="22.5">
      <c r="A71" s="5"/>
      <c r="B71" s="5"/>
      <c r="C71" s="6"/>
      <c r="D71" s="6"/>
      <c r="E71" s="8"/>
      <c r="F71" s="8"/>
      <c r="G71" s="8"/>
      <c r="K71" s="11"/>
      <c r="L71" s="11"/>
      <c r="M71" s="66"/>
    </row>
    <row r="72" spans="1:13" s="10" customFormat="1" ht="22.5">
      <c r="A72" s="5"/>
      <c r="B72" s="5"/>
      <c r="C72" s="6"/>
      <c r="D72" s="6"/>
      <c r="E72" s="8"/>
      <c r="F72" s="8"/>
      <c r="G72" s="8"/>
      <c r="K72" s="11"/>
      <c r="L72" s="11"/>
      <c r="M72" s="66"/>
    </row>
  </sheetData>
  <sheetProtection/>
  <autoFilter ref="A3:M63"/>
  <mergeCells count="10">
    <mergeCell ref="H3:H4"/>
    <mergeCell ref="K3:K4"/>
    <mergeCell ref="L3:L4"/>
    <mergeCell ref="A3:A4"/>
    <mergeCell ref="B3:B4"/>
    <mergeCell ref="C3:C4"/>
    <mergeCell ref="E3:E4"/>
    <mergeCell ref="F3:F4"/>
    <mergeCell ref="G3:G4"/>
    <mergeCell ref="D3:D4"/>
  </mergeCells>
  <printOptions horizontalCentered="1"/>
  <pageMargins left="0.3937007874015748" right="0.2755905511811024" top="0.3937007874015748" bottom="0.3937007874015748" header="0.1968503937007874" footer="0.1968503937007874"/>
  <pageSetup fitToHeight="0" fitToWidth="1" horizontalDpi="600" verticalDpi="600" orientation="landscape" paperSize="8" scale="49" r:id="rId4"/>
  <drawing r:id="rId3"/>
  <legacyDrawing r:id="rId2"/>
</worksheet>
</file>

<file path=xl/worksheets/sheet2.xml><?xml version="1.0" encoding="utf-8"?>
<worksheet xmlns="http://schemas.openxmlformats.org/spreadsheetml/2006/main" xmlns:r="http://schemas.openxmlformats.org/officeDocument/2006/relationships">
  <sheetPr>
    <tabColor rgb="FF00B0F0"/>
    <pageSetUpPr fitToPage="1"/>
  </sheetPr>
  <dimension ref="A1:M80"/>
  <sheetViews>
    <sheetView showGridLines="0" view="pageBreakPreview" zoomScale="55" zoomScaleNormal="70" zoomScaleSheetLayoutView="55" zoomScalePageLayoutView="0" workbookViewId="0" topLeftCell="A1">
      <pane xSplit="1" ySplit="4" topLeftCell="B5" activePane="bottomRight" state="frozen"/>
      <selection pane="topLeft" activeCell="H25" sqref="H25"/>
      <selection pane="topRight" activeCell="H25" sqref="H25"/>
      <selection pane="bottomLeft" activeCell="H25" sqref="H25"/>
      <selection pane="bottomRight" activeCell="H25" sqref="H25"/>
    </sheetView>
  </sheetViews>
  <sheetFormatPr defaultColWidth="9.00390625" defaultRowHeight="13.5"/>
  <cols>
    <col min="1" max="1" width="5.625" style="7" customWidth="1"/>
    <col min="2" max="2" width="17.50390625" style="7" customWidth="1"/>
    <col min="3" max="3" width="47.00390625" style="6" customWidth="1"/>
    <col min="4" max="4" width="60.25390625" style="6" customWidth="1"/>
    <col min="5" max="7" width="12.50390625" style="8" customWidth="1"/>
    <col min="8" max="8" width="19.375" style="10" bestFit="1" customWidth="1"/>
    <col min="9" max="10" width="12.50390625" style="10" customWidth="1"/>
    <col min="11" max="11" width="63.00390625" style="11" customWidth="1"/>
    <col min="12" max="12" width="60.75390625" style="11" customWidth="1"/>
    <col min="13" max="13" width="22.50390625" style="27" customWidth="1"/>
  </cols>
  <sheetData>
    <row r="1" ht="23.25">
      <c r="A1" s="30" t="s">
        <v>248</v>
      </c>
    </row>
    <row r="2" spans="1:13" ht="51" customHeight="1">
      <c r="A2" s="15"/>
      <c r="B2" s="15"/>
      <c r="C2" s="15"/>
      <c r="D2" s="15"/>
      <c r="E2" s="15"/>
      <c r="F2" s="15"/>
      <c r="G2" s="15"/>
      <c r="H2" s="15"/>
      <c r="I2" s="13"/>
      <c r="J2" s="13"/>
      <c r="K2" s="14"/>
      <c r="L2" s="14"/>
      <c r="M2" s="26"/>
    </row>
    <row r="3" spans="1:13" ht="42.75" customHeight="1">
      <c r="A3" s="72"/>
      <c r="B3" s="73" t="s">
        <v>103</v>
      </c>
      <c r="C3" s="74" t="s">
        <v>73</v>
      </c>
      <c r="D3" s="19"/>
      <c r="E3" s="76" t="s">
        <v>249</v>
      </c>
      <c r="F3" s="78" t="s">
        <v>106</v>
      </c>
      <c r="G3" s="78" t="s">
        <v>105</v>
      </c>
      <c r="H3" s="67" t="s">
        <v>104</v>
      </c>
      <c r="I3" s="28" t="s">
        <v>16</v>
      </c>
      <c r="J3" s="29"/>
      <c r="K3" s="69" t="s">
        <v>17</v>
      </c>
      <c r="L3" s="70" t="s">
        <v>38</v>
      </c>
      <c r="M3" s="78" t="s">
        <v>90</v>
      </c>
    </row>
    <row r="4" spans="1:13" ht="34.5" customHeight="1">
      <c r="A4" s="72"/>
      <c r="B4" s="73"/>
      <c r="C4" s="75"/>
      <c r="D4" s="20" t="s">
        <v>36</v>
      </c>
      <c r="E4" s="77"/>
      <c r="F4" s="69"/>
      <c r="G4" s="69"/>
      <c r="H4" s="68"/>
      <c r="I4" s="21" t="s">
        <v>14</v>
      </c>
      <c r="J4" s="21" t="s">
        <v>15</v>
      </c>
      <c r="K4" s="69"/>
      <c r="L4" s="71"/>
      <c r="M4" s="78"/>
    </row>
    <row r="5" spans="1:13" s="52" customFormat="1" ht="90" customHeight="1">
      <c r="A5" s="50">
        <v>1</v>
      </c>
      <c r="B5" s="16" t="s">
        <v>102</v>
      </c>
      <c r="C5" s="12" t="s">
        <v>80</v>
      </c>
      <c r="D5" s="1" t="s">
        <v>233</v>
      </c>
      <c r="E5" s="2">
        <f>(F5+G5)/H5</f>
        <v>0.3715645449137418</v>
      </c>
      <c r="F5" s="3">
        <v>7114</v>
      </c>
      <c r="G5" s="3">
        <v>2255</v>
      </c>
      <c r="H5" s="3">
        <v>25215</v>
      </c>
      <c r="I5" s="3">
        <v>15530</v>
      </c>
      <c r="J5" s="3">
        <f aca="true" t="shared" si="0" ref="J5:J64">H5-I5</f>
        <v>9685</v>
      </c>
      <c r="K5" s="22" t="s">
        <v>34</v>
      </c>
      <c r="L5" s="22" t="s">
        <v>52</v>
      </c>
      <c r="M5" s="51" t="s">
        <v>213</v>
      </c>
    </row>
    <row r="6" spans="1:13" s="52" customFormat="1" ht="117" customHeight="1">
      <c r="A6" s="50">
        <v>2</v>
      </c>
      <c r="B6" s="16" t="s">
        <v>102</v>
      </c>
      <c r="C6" s="12" t="s">
        <v>81</v>
      </c>
      <c r="D6" s="1" t="s">
        <v>126</v>
      </c>
      <c r="E6" s="2">
        <f>(F6+G6)/H6</f>
        <v>0.5152230351663913</v>
      </c>
      <c r="F6" s="4">
        <v>56116</v>
      </c>
      <c r="G6" s="4">
        <v>642</v>
      </c>
      <c r="H6" s="4">
        <v>110162</v>
      </c>
      <c r="I6" s="4">
        <v>43277</v>
      </c>
      <c r="J6" s="4">
        <f t="shared" si="0"/>
        <v>66885</v>
      </c>
      <c r="K6" s="22" t="s">
        <v>60</v>
      </c>
      <c r="L6" s="22" t="s">
        <v>206</v>
      </c>
      <c r="M6" s="51" t="s">
        <v>213</v>
      </c>
    </row>
    <row r="7" spans="1:13" s="52" customFormat="1" ht="95.25" customHeight="1">
      <c r="A7" s="50">
        <v>3</v>
      </c>
      <c r="B7" s="16" t="s">
        <v>100</v>
      </c>
      <c r="C7" s="12" t="s">
        <v>250</v>
      </c>
      <c r="D7" s="1" t="s">
        <v>126</v>
      </c>
      <c r="E7" s="2">
        <f>(F7+G7)/H7</f>
        <v>0.2581087336313391</v>
      </c>
      <c r="F7" s="4">
        <v>6348</v>
      </c>
      <c r="G7" s="4">
        <v>1624</v>
      </c>
      <c r="H7" s="4">
        <f>41321*0.74747</f>
        <v>30886.20787</v>
      </c>
      <c r="I7" s="4">
        <f>16782*0.74747</f>
        <v>12544.04154</v>
      </c>
      <c r="J7" s="4">
        <f t="shared" si="0"/>
        <v>18342.16633</v>
      </c>
      <c r="K7" s="22" t="s">
        <v>33</v>
      </c>
      <c r="L7" s="22" t="s">
        <v>147</v>
      </c>
      <c r="M7" s="51" t="s">
        <v>213</v>
      </c>
    </row>
    <row r="8" spans="1:13" s="52" customFormat="1" ht="163.5" customHeight="1">
      <c r="A8" s="50">
        <v>4</v>
      </c>
      <c r="B8" s="16" t="s">
        <v>100</v>
      </c>
      <c r="C8" s="12" t="s">
        <v>75</v>
      </c>
      <c r="D8" s="1" t="s">
        <v>255</v>
      </c>
      <c r="E8" s="2">
        <f>(F8+G8)/H8</f>
        <v>0.4404755186878092</v>
      </c>
      <c r="F8" s="4">
        <v>65717</v>
      </c>
      <c r="G8" s="4">
        <v>4534</v>
      </c>
      <c r="H8" s="55">
        <v>159489</v>
      </c>
      <c r="I8" s="55">
        <v>50745</v>
      </c>
      <c r="J8" s="55">
        <f t="shared" si="0"/>
        <v>108744</v>
      </c>
      <c r="K8" s="23" t="s">
        <v>201</v>
      </c>
      <c r="L8" s="23" t="s">
        <v>150</v>
      </c>
      <c r="M8" s="51" t="s">
        <v>213</v>
      </c>
    </row>
    <row r="9" spans="1:13" s="52" customFormat="1" ht="95.25" customHeight="1">
      <c r="A9" s="50">
        <v>5</v>
      </c>
      <c r="B9" s="16" t="s">
        <v>100</v>
      </c>
      <c r="C9" s="12" t="s">
        <v>125</v>
      </c>
      <c r="D9" s="1" t="s">
        <v>234</v>
      </c>
      <c r="E9" s="56" t="s">
        <v>109</v>
      </c>
      <c r="F9" s="3">
        <v>0</v>
      </c>
      <c r="G9" s="3">
        <v>0</v>
      </c>
      <c r="H9" s="3">
        <v>7077</v>
      </c>
      <c r="I9" s="3">
        <v>4359</v>
      </c>
      <c r="J9" s="3">
        <f t="shared" si="0"/>
        <v>2718</v>
      </c>
      <c r="K9" s="24" t="s">
        <v>18</v>
      </c>
      <c r="L9" s="24" t="s">
        <v>110</v>
      </c>
      <c r="M9" s="51" t="s">
        <v>213</v>
      </c>
    </row>
    <row r="10" spans="1:13" s="52" customFormat="1" ht="106.5" customHeight="1">
      <c r="A10" s="50">
        <v>6</v>
      </c>
      <c r="B10" s="16" t="s">
        <v>300</v>
      </c>
      <c r="C10" s="1" t="s">
        <v>244</v>
      </c>
      <c r="D10" s="12" t="s">
        <v>132</v>
      </c>
      <c r="E10" s="2">
        <f>(F10+G10)/H10</f>
        <v>0.22233583836392756</v>
      </c>
      <c r="F10" s="3">
        <v>12628</v>
      </c>
      <c r="G10" s="3">
        <v>4.9</v>
      </c>
      <c r="H10" s="3">
        <v>56819</v>
      </c>
      <c r="I10" s="3">
        <f>13135*0.75334</f>
        <v>9895.1209</v>
      </c>
      <c r="J10" s="3">
        <f t="shared" si="0"/>
        <v>46923.8791</v>
      </c>
      <c r="K10" s="22" t="s">
        <v>86</v>
      </c>
      <c r="L10" s="22" t="s">
        <v>205</v>
      </c>
      <c r="M10" s="51" t="s">
        <v>213</v>
      </c>
    </row>
    <row r="11" spans="1:13" s="52" customFormat="1" ht="132" customHeight="1">
      <c r="A11" s="50">
        <v>7</v>
      </c>
      <c r="B11" s="16" t="s">
        <v>102</v>
      </c>
      <c r="C11" s="12" t="s">
        <v>191</v>
      </c>
      <c r="D11" s="1" t="s">
        <v>234</v>
      </c>
      <c r="E11" s="2">
        <f>(F11+G11)/H11</f>
        <v>0.13187788702116476</v>
      </c>
      <c r="F11" s="3">
        <v>3727</v>
      </c>
      <c r="G11" s="3">
        <v>16</v>
      </c>
      <c r="H11" s="3">
        <f>39592*0.71687</f>
        <v>28382.31704</v>
      </c>
      <c r="I11" s="3">
        <f>25458*0.71687</f>
        <v>18250.07646</v>
      </c>
      <c r="J11" s="3">
        <f>H11-I11</f>
        <v>10132.240580000002</v>
      </c>
      <c r="K11" s="22" t="s">
        <v>134</v>
      </c>
      <c r="L11" s="22" t="s">
        <v>51</v>
      </c>
      <c r="M11" s="51" t="s">
        <v>213</v>
      </c>
    </row>
    <row r="12" spans="1:13" s="52" customFormat="1" ht="96.75" customHeight="1">
      <c r="A12" s="50">
        <v>8</v>
      </c>
      <c r="B12" s="16" t="s">
        <v>102</v>
      </c>
      <c r="C12" s="12" t="s">
        <v>243</v>
      </c>
      <c r="D12" s="1" t="s">
        <v>234</v>
      </c>
      <c r="E12" s="2" t="s">
        <v>109</v>
      </c>
      <c r="F12" s="3">
        <v>0</v>
      </c>
      <c r="G12" s="3">
        <v>0</v>
      </c>
      <c r="H12" s="3">
        <v>15356</v>
      </c>
      <c r="I12" s="3">
        <v>11620</v>
      </c>
      <c r="J12" s="3">
        <f t="shared" si="0"/>
        <v>3736</v>
      </c>
      <c r="K12" s="24" t="s">
        <v>18</v>
      </c>
      <c r="L12" s="24" t="s">
        <v>110</v>
      </c>
      <c r="M12" s="51" t="s">
        <v>213</v>
      </c>
    </row>
    <row r="13" spans="1:13" s="52" customFormat="1" ht="101.25" customHeight="1">
      <c r="A13" s="50">
        <v>9</v>
      </c>
      <c r="B13" s="16" t="s">
        <v>102</v>
      </c>
      <c r="C13" s="12" t="s">
        <v>133</v>
      </c>
      <c r="D13" s="1" t="s">
        <v>234</v>
      </c>
      <c r="E13" s="2" t="s">
        <v>109</v>
      </c>
      <c r="F13" s="3">
        <v>0</v>
      </c>
      <c r="G13" s="3">
        <v>0</v>
      </c>
      <c r="H13" s="3">
        <v>9129</v>
      </c>
      <c r="I13" s="3">
        <v>3885</v>
      </c>
      <c r="J13" s="3">
        <f t="shared" si="0"/>
        <v>5244</v>
      </c>
      <c r="K13" s="24" t="s">
        <v>18</v>
      </c>
      <c r="L13" s="24" t="s">
        <v>110</v>
      </c>
      <c r="M13" s="51" t="s">
        <v>213</v>
      </c>
    </row>
    <row r="14" spans="1:13" s="52" customFormat="1" ht="127.5" customHeight="1">
      <c r="A14" s="50">
        <v>10</v>
      </c>
      <c r="B14" s="16" t="s">
        <v>102</v>
      </c>
      <c r="C14" s="12" t="s">
        <v>82</v>
      </c>
      <c r="D14" s="1" t="s">
        <v>126</v>
      </c>
      <c r="E14" s="2">
        <v>0.29566567301137514</v>
      </c>
      <c r="F14" s="4">
        <v>201632</v>
      </c>
      <c r="G14" s="4">
        <v>25203</v>
      </c>
      <c r="H14" s="4">
        <v>772075</v>
      </c>
      <c r="I14" s="4">
        <v>230797</v>
      </c>
      <c r="J14" s="4">
        <f t="shared" si="0"/>
        <v>541278</v>
      </c>
      <c r="K14" s="22" t="s">
        <v>59</v>
      </c>
      <c r="L14" s="22" t="s">
        <v>48</v>
      </c>
      <c r="M14" s="51" t="s">
        <v>213</v>
      </c>
    </row>
    <row r="15" spans="1:13" s="52" customFormat="1" ht="99.75" customHeight="1">
      <c r="A15" s="50">
        <v>11</v>
      </c>
      <c r="B15" s="16" t="s">
        <v>102</v>
      </c>
      <c r="C15" s="12" t="s">
        <v>258</v>
      </c>
      <c r="D15" s="12" t="s">
        <v>148</v>
      </c>
      <c r="E15" s="2">
        <f aca="true" t="shared" si="1" ref="E15:E35">(F15+G15)/H15</f>
        <v>0.9452872798814027</v>
      </c>
      <c r="F15" s="4">
        <v>51778</v>
      </c>
      <c r="G15" s="4">
        <v>16450</v>
      </c>
      <c r="H15" s="4">
        <v>72177</v>
      </c>
      <c r="I15" s="4">
        <v>2833</v>
      </c>
      <c r="J15" s="4">
        <f t="shared" si="0"/>
        <v>69344</v>
      </c>
      <c r="K15" s="25" t="s">
        <v>22</v>
      </c>
      <c r="L15" s="23" t="s">
        <v>49</v>
      </c>
      <c r="M15" s="51" t="s">
        <v>213</v>
      </c>
    </row>
    <row r="16" spans="1:13" s="52" customFormat="1" ht="108.75" customHeight="1">
      <c r="A16" s="50">
        <v>12</v>
      </c>
      <c r="B16" s="16" t="s">
        <v>102</v>
      </c>
      <c r="C16" s="1" t="s">
        <v>259</v>
      </c>
      <c r="D16" s="12" t="s">
        <v>235</v>
      </c>
      <c r="E16" s="2">
        <f t="shared" si="1"/>
        <v>0.5070095772787319</v>
      </c>
      <c r="F16" s="3">
        <v>122060</v>
      </c>
      <c r="G16" s="3">
        <v>758</v>
      </c>
      <c r="H16" s="3">
        <v>242240</v>
      </c>
      <c r="I16" s="3">
        <f>40717+3241</f>
        <v>43958</v>
      </c>
      <c r="J16" s="3">
        <f t="shared" si="0"/>
        <v>198282</v>
      </c>
      <c r="K16" s="22" t="s">
        <v>149</v>
      </c>
      <c r="L16" s="22" t="s">
        <v>50</v>
      </c>
      <c r="M16" s="51" t="s">
        <v>213</v>
      </c>
    </row>
    <row r="17" spans="1:13" s="52" customFormat="1" ht="133.5" customHeight="1">
      <c r="A17" s="50">
        <v>13</v>
      </c>
      <c r="B17" s="16" t="s">
        <v>94</v>
      </c>
      <c r="C17" s="12" t="s">
        <v>306</v>
      </c>
      <c r="D17" s="1" t="s">
        <v>136</v>
      </c>
      <c r="E17" s="2">
        <f t="shared" si="1"/>
        <v>0.13201864817602962</v>
      </c>
      <c r="F17" s="3">
        <v>20184</v>
      </c>
      <c r="G17" s="3">
        <v>3883</v>
      </c>
      <c r="H17" s="3">
        <f>183601*0.992914</f>
        <v>182300.003314</v>
      </c>
      <c r="I17" s="3">
        <f>72670*0.992914</f>
        <v>72155.06038</v>
      </c>
      <c r="J17" s="3">
        <f t="shared" si="0"/>
        <v>110144.942934</v>
      </c>
      <c r="K17" s="22" t="s">
        <v>137</v>
      </c>
      <c r="L17" s="22" t="s">
        <v>204</v>
      </c>
      <c r="M17" s="51" t="s">
        <v>213</v>
      </c>
    </row>
    <row r="18" spans="1:13" s="52" customFormat="1" ht="135.75" customHeight="1">
      <c r="A18" s="50">
        <v>14</v>
      </c>
      <c r="B18" s="16" t="s">
        <v>94</v>
      </c>
      <c r="C18" s="12" t="s">
        <v>307</v>
      </c>
      <c r="D18" s="1" t="s">
        <v>236</v>
      </c>
      <c r="E18" s="2">
        <f t="shared" si="1"/>
        <v>0.19476749679879848</v>
      </c>
      <c r="F18" s="3">
        <v>6915</v>
      </c>
      <c r="G18" s="3">
        <v>182</v>
      </c>
      <c r="H18" s="3">
        <f>40408*0.90176</f>
        <v>36438.31808</v>
      </c>
      <c r="I18" s="53">
        <f>23396*0.90176</f>
        <v>21097.57696</v>
      </c>
      <c r="J18" s="53">
        <f t="shared" si="0"/>
        <v>15340.741119999999</v>
      </c>
      <c r="K18" s="22" t="s">
        <v>308</v>
      </c>
      <c r="L18" s="22" t="s">
        <v>118</v>
      </c>
      <c r="M18" s="51" t="s">
        <v>213</v>
      </c>
    </row>
    <row r="19" spans="1:13" s="52" customFormat="1" ht="114" customHeight="1">
      <c r="A19" s="50">
        <v>15</v>
      </c>
      <c r="B19" s="16" t="s">
        <v>94</v>
      </c>
      <c r="C19" s="12" t="s">
        <v>193</v>
      </c>
      <c r="D19" s="1" t="s">
        <v>237</v>
      </c>
      <c r="E19" s="2">
        <f t="shared" si="1"/>
        <v>0.24270453993687788</v>
      </c>
      <c r="F19" s="3">
        <v>9285</v>
      </c>
      <c r="G19" s="3">
        <v>712</v>
      </c>
      <c r="H19" s="3">
        <v>41190</v>
      </c>
      <c r="I19" s="53">
        <v>22886</v>
      </c>
      <c r="J19" s="53">
        <f t="shared" si="0"/>
        <v>18304</v>
      </c>
      <c r="K19" s="22" t="s">
        <v>58</v>
      </c>
      <c r="L19" s="22" t="s">
        <v>118</v>
      </c>
      <c r="M19" s="51" t="s">
        <v>213</v>
      </c>
    </row>
    <row r="20" spans="1:13" s="52" customFormat="1" ht="96" customHeight="1">
      <c r="A20" s="50">
        <v>16</v>
      </c>
      <c r="B20" s="16" t="s">
        <v>94</v>
      </c>
      <c r="C20" s="12" t="s">
        <v>194</v>
      </c>
      <c r="D20" s="1" t="s">
        <v>43</v>
      </c>
      <c r="E20" s="2">
        <f t="shared" si="1"/>
        <v>0.17376720683045827</v>
      </c>
      <c r="F20" s="3">
        <v>3989</v>
      </c>
      <c r="G20" s="3">
        <v>0</v>
      </c>
      <c r="H20" s="3">
        <v>22956</v>
      </c>
      <c r="I20" s="3">
        <v>11709</v>
      </c>
      <c r="J20" s="3">
        <f t="shared" si="0"/>
        <v>11247</v>
      </c>
      <c r="K20" s="22" t="s">
        <v>23</v>
      </c>
      <c r="L20" s="22" t="s">
        <v>110</v>
      </c>
      <c r="M20" s="51" t="s">
        <v>213</v>
      </c>
    </row>
    <row r="21" spans="1:13" s="52" customFormat="1" ht="108" customHeight="1">
      <c r="A21" s="50">
        <v>17</v>
      </c>
      <c r="B21" s="16" t="s">
        <v>94</v>
      </c>
      <c r="C21" s="12" t="s">
        <v>195</v>
      </c>
      <c r="D21" s="12" t="s">
        <v>117</v>
      </c>
      <c r="E21" s="2">
        <f t="shared" si="1"/>
        <v>0.09600264089790529</v>
      </c>
      <c r="F21" s="3">
        <v>8625</v>
      </c>
      <c r="G21" s="3">
        <v>4171</v>
      </c>
      <c r="H21" s="3">
        <v>133288</v>
      </c>
      <c r="I21" s="3">
        <v>62080</v>
      </c>
      <c r="J21" s="3">
        <f t="shared" si="0"/>
        <v>71208</v>
      </c>
      <c r="K21" s="22" t="s">
        <v>68</v>
      </c>
      <c r="L21" s="22" t="s">
        <v>118</v>
      </c>
      <c r="M21" s="51" t="s">
        <v>213</v>
      </c>
    </row>
    <row r="22" spans="1:13" s="52" customFormat="1" ht="143.25" customHeight="1">
      <c r="A22" s="50">
        <v>18</v>
      </c>
      <c r="B22" s="16" t="s">
        <v>94</v>
      </c>
      <c r="C22" s="12" t="s">
        <v>196</v>
      </c>
      <c r="D22" s="12" t="s">
        <v>119</v>
      </c>
      <c r="E22" s="2">
        <f t="shared" si="1"/>
        <v>0.180983375617137</v>
      </c>
      <c r="F22" s="57">
        <v>16099</v>
      </c>
      <c r="G22" s="57">
        <v>11651</v>
      </c>
      <c r="H22" s="57">
        <v>153329</v>
      </c>
      <c r="I22" s="58">
        <v>68321</v>
      </c>
      <c r="J22" s="58">
        <f t="shared" si="0"/>
        <v>85008</v>
      </c>
      <c r="K22" s="59" t="s">
        <v>63</v>
      </c>
      <c r="L22" s="22" t="s">
        <v>118</v>
      </c>
      <c r="M22" s="51" t="s">
        <v>213</v>
      </c>
    </row>
    <row r="23" spans="1:13" s="52" customFormat="1" ht="141.75" customHeight="1">
      <c r="A23" s="50">
        <v>19</v>
      </c>
      <c r="B23" s="16" t="s">
        <v>94</v>
      </c>
      <c r="C23" s="12" t="s">
        <v>197</v>
      </c>
      <c r="D23" s="12" t="s">
        <v>119</v>
      </c>
      <c r="E23" s="2">
        <f t="shared" si="1"/>
        <v>0.22919093271212257</v>
      </c>
      <c r="F23" s="3">
        <v>5070</v>
      </c>
      <c r="G23" s="3">
        <v>46</v>
      </c>
      <c r="H23" s="3">
        <v>22322</v>
      </c>
      <c r="I23" s="3">
        <v>13198</v>
      </c>
      <c r="J23" s="3">
        <f t="shared" si="0"/>
        <v>9124</v>
      </c>
      <c r="K23" s="22" t="s">
        <v>323</v>
      </c>
      <c r="L23" s="22" t="s">
        <v>118</v>
      </c>
      <c r="M23" s="51" t="s">
        <v>213</v>
      </c>
    </row>
    <row r="24" spans="1:13" s="52" customFormat="1" ht="142.5" customHeight="1">
      <c r="A24" s="50">
        <v>20</v>
      </c>
      <c r="B24" s="16" t="s">
        <v>94</v>
      </c>
      <c r="C24" s="12" t="s">
        <v>309</v>
      </c>
      <c r="D24" s="1" t="s">
        <v>135</v>
      </c>
      <c r="E24" s="2">
        <f t="shared" si="1"/>
        <v>0.32987068471330555</v>
      </c>
      <c r="F24" s="3">
        <v>19227</v>
      </c>
      <c r="G24" s="3">
        <v>49680</v>
      </c>
      <c r="H24" s="3">
        <f>219347*0.952331</f>
        <v>208890.94785700002</v>
      </c>
      <c r="I24" s="3">
        <f>88919*0.952331</f>
        <v>84680.320189</v>
      </c>
      <c r="J24" s="3">
        <f t="shared" si="0"/>
        <v>124210.62766800002</v>
      </c>
      <c r="K24" s="22" t="s">
        <v>55</v>
      </c>
      <c r="L24" s="22" t="s">
        <v>46</v>
      </c>
      <c r="M24" s="51" t="s">
        <v>213</v>
      </c>
    </row>
    <row r="25" spans="1:13" s="52" customFormat="1" ht="151.5" customHeight="1">
      <c r="A25" s="50">
        <v>21</v>
      </c>
      <c r="B25" s="16" t="s">
        <v>94</v>
      </c>
      <c r="C25" s="12" t="s">
        <v>199</v>
      </c>
      <c r="D25" s="1" t="s">
        <v>138</v>
      </c>
      <c r="E25" s="2">
        <f t="shared" si="1"/>
        <v>0.4025465187763549</v>
      </c>
      <c r="F25" s="3">
        <v>78414</v>
      </c>
      <c r="G25" s="3">
        <v>14567</v>
      </c>
      <c r="H25" s="3">
        <v>230982</v>
      </c>
      <c r="I25" s="3">
        <v>44628</v>
      </c>
      <c r="J25" s="3">
        <f t="shared" si="0"/>
        <v>186354</v>
      </c>
      <c r="K25" s="22" t="s">
        <v>24</v>
      </c>
      <c r="L25" s="22" t="s">
        <v>47</v>
      </c>
      <c r="M25" s="51" t="s">
        <v>213</v>
      </c>
    </row>
    <row r="26" spans="1:13" s="52" customFormat="1" ht="154.5" customHeight="1">
      <c r="A26" s="50">
        <v>22</v>
      </c>
      <c r="B26" s="16" t="s">
        <v>94</v>
      </c>
      <c r="C26" s="12" t="s">
        <v>200</v>
      </c>
      <c r="D26" s="1" t="s">
        <v>40</v>
      </c>
      <c r="E26" s="2">
        <f t="shared" si="1"/>
        <v>0.5379481015560915</v>
      </c>
      <c r="F26" s="3">
        <v>208029</v>
      </c>
      <c r="G26" s="3">
        <v>141513</v>
      </c>
      <c r="H26" s="3">
        <v>649769</v>
      </c>
      <c r="I26" s="3">
        <v>195251</v>
      </c>
      <c r="J26" s="3">
        <f t="shared" si="0"/>
        <v>454518</v>
      </c>
      <c r="K26" s="22" t="s">
        <v>56</v>
      </c>
      <c r="L26" s="22" t="s">
        <v>41</v>
      </c>
      <c r="M26" s="51" t="s">
        <v>213</v>
      </c>
    </row>
    <row r="27" spans="1:13" s="52" customFormat="1" ht="309" customHeight="1">
      <c r="A27" s="50">
        <v>23</v>
      </c>
      <c r="B27" s="16" t="s">
        <v>101</v>
      </c>
      <c r="C27" s="1" t="s">
        <v>318</v>
      </c>
      <c r="D27" s="12" t="s">
        <v>129</v>
      </c>
      <c r="E27" s="2">
        <f t="shared" si="1"/>
        <v>0.41022469593898164</v>
      </c>
      <c r="F27" s="3">
        <v>1674</v>
      </c>
      <c r="G27" s="3">
        <v>316</v>
      </c>
      <c r="H27" s="3">
        <v>4851</v>
      </c>
      <c r="I27" s="3">
        <v>305</v>
      </c>
      <c r="J27" s="3">
        <f t="shared" si="0"/>
        <v>4546</v>
      </c>
      <c r="K27" s="22" t="s">
        <v>310</v>
      </c>
      <c r="L27" s="22" t="s">
        <v>214</v>
      </c>
      <c r="M27" s="51" t="s">
        <v>213</v>
      </c>
    </row>
    <row r="28" spans="1:13" s="52" customFormat="1" ht="97.5" customHeight="1">
      <c r="A28" s="50">
        <v>24</v>
      </c>
      <c r="B28" s="16" t="s">
        <v>101</v>
      </c>
      <c r="C28" s="1" t="s">
        <v>321</v>
      </c>
      <c r="D28" s="12" t="s">
        <v>130</v>
      </c>
      <c r="E28" s="2">
        <f t="shared" si="1"/>
        <v>0.5405482310537798</v>
      </c>
      <c r="F28" s="3">
        <v>65879</v>
      </c>
      <c r="G28" s="3">
        <v>2509</v>
      </c>
      <c r="H28" s="3">
        <v>126516</v>
      </c>
      <c r="I28" s="3">
        <v>63800</v>
      </c>
      <c r="J28" s="3">
        <f t="shared" si="0"/>
        <v>62716</v>
      </c>
      <c r="K28" s="22" t="s">
        <v>131</v>
      </c>
      <c r="L28" s="22" t="s">
        <v>215</v>
      </c>
      <c r="M28" s="51" t="s">
        <v>213</v>
      </c>
    </row>
    <row r="29" spans="1:13" s="52" customFormat="1" ht="153" customHeight="1">
      <c r="A29" s="50">
        <v>25</v>
      </c>
      <c r="B29" s="16" t="s">
        <v>97</v>
      </c>
      <c r="C29" s="1" t="s">
        <v>3</v>
      </c>
      <c r="D29" s="1" t="s">
        <v>122</v>
      </c>
      <c r="E29" s="2">
        <f t="shared" si="1"/>
        <v>0.08584360179310047</v>
      </c>
      <c r="F29" s="3">
        <v>2255</v>
      </c>
      <c r="G29" s="3">
        <v>1709</v>
      </c>
      <c r="H29" s="3">
        <v>46177</v>
      </c>
      <c r="I29" s="3">
        <v>21590</v>
      </c>
      <c r="J29" s="3">
        <f t="shared" si="0"/>
        <v>24587</v>
      </c>
      <c r="K29" s="22" t="s">
        <v>216</v>
      </c>
      <c r="L29" s="22" t="s">
        <v>217</v>
      </c>
      <c r="M29" s="51" t="s">
        <v>213</v>
      </c>
    </row>
    <row r="30" spans="1:13" s="52" customFormat="1" ht="127.5" customHeight="1">
      <c r="A30" s="50">
        <v>26</v>
      </c>
      <c r="B30" s="16" t="s">
        <v>97</v>
      </c>
      <c r="C30" s="1" t="s">
        <v>245</v>
      </c>
      <c r="D30" s="1" t="s">
        <v>123</v>
      </c>
      <c r="E30" s="2">
        <f t="shared" si="1"/>
        <v>0.17678022237993848</v>
      </c>
      <c r="F30" s="3">
        <v>3985</v>
      </c>
      <c r="G30" s="3">
        <v>7971</v>
      </c>
      <c r="H30" s="3">
        <v>67632</v>
      </c>
      <c r="I30" s="3">
        <f>22521*0.93056</f>
        <v>20957.141760000002</v>
      </c>
      <c r="J30" s="3">
        <f t="shared" si="0"/>
        <v>46674.85824</v>
      </c>
      <c r="K30" s="22" t="s">
        <v>218</v>
      </c>
      <c r="L30" s="22" t="s">
        <v>219</v>
      </c>
      <c r="M30" s="51" t="s">
        <v>213</v>
      </c>
    </row>
    <row r="31" spans="1:13" s="52" customFormat="1" ht="210.75" customHeight="1">
      <c r="A31" s="50">
        <v>27</v>
      </c>
      <c r="B31" s="16" t="s">
        <v>97</v>
      </c>
      <c r="C31" s="1" t="s">
        <v>4</v>
      </c>
      <c r="D31" s="1" t="s">
        <v>123</v>
      </c>
      <c r="E31" s="2">
        <f>(F31+G31)/H31</f>
        <v>0.1415847967915023</v>
      </c>
      <c r="F31" s="3">
        <v>12956</v>
      </c>
      <c r="G31" s="3">
        <v>0</v>
      </c>
      <c r="H31" s="3">
        <v>91507</v>
      </c>
      <c r="I31" s="3">
        <v>27461</v>
      </c>
      <c r="J31" s="3">
        <f t="shared" si="0"/>
        <v>64046</v>
      </c>
      <c r="K31" s="22" t="s">
        <v>107</v>
      </c>
      <c r="L31" s="22" t="s">
        <v>220</v>
      </c>
      <c r="M31" s="51" t="s">
        <v>213</v>
      </c>
    </row>
    <row r="32" spans="1:13" s="52" customFormat="1" ht="132.75" customHeight="1">
      <c r="A32" s="50">
        <v>28</v>
      </c>
      <c r="B32" s="16" t="s">
        <v>97</v>
      </c>
      <c r="C32" s="1" t="s">
        <v>5</v>
      </c>
      <c r="D32" s="1" t="s">
        <v>230</v>
      </c>
      <c r="E32" s="2">
        <f t="shared" si="1"/>
        <v>0.08980963045912654</v>
      </c>
      <c r="F32" s="3">
        <v>4010</v>
      </c>
      <c r="G32" s="3">
        <v>0</v>
      </c>
      <c r="H32" s="3">
        <v>44650</v>
      </c>
      <c r="I32" s="3">
        <v>24596</v>
      </c>
      <c r="J32" s="3">
        <f t="shared" si="0"/>
        <v>20054</v>
      </c>
      <c r="K32" s="22" t="s">
        <v>221</v>
      </c>
      <c r="L32" s="22" t="s">
        <v>110</v>
      </c>
      <c r="M32" s="51" t="s">
        <v>213</v>
      </c>
    </row>
    <row r="33" spans="1:13" s="52" customFormat="1" ht="131.25" customHeight="1">
      <c r="A33" s="50">
        <v>29</v>
      </c>
      <c r="B33" s="16" t="s">
        <v>97</v>
      </c>
      <c r="C33" s="12" t="s">
        <v>6</v>
      </c>
      <c r="D33" s="1" t="s">
        <v>222</v>
      </c>
      <c r="E33" s="2">
        <f t="shared" si="1"/>
        <v>0.3219341186350778</v>
      </c>
      <c r="F33" s="3">
        <v>106041</v>
      </c>
      <c r="G33" s="3">
        <v>10494</v>
      </c>
      <c r="H33" s="3">
        <v>361984</v>
      </c>
      <c r="I33" s="3">
        <v>132871</v>
      </c>
      <c r="J33" s="3">
        <f t="shared" si="0"/>
        <v>229113</v>
      </c>
      <c r="K33" s="22" t="s">
        <v>25</v>
      </c>
      <c r="L33" s="22" t="s">
        <v>39</v>
      </c>
      <c r="M33" s="51" t="s">
        <v>213</v>
      </c>
    </row>
    <row r="34" spans="1:13" s="52" customFormat="1" ht="104.25" customHeight="1">
      <c r="A34" s="50">
        <v>30</v>
      </c>
      <c r="B34" s="16" t="s">
        <v>93</v>
      </c>
      <c r="C34" s="12" t="s">
        <v>314</v>
      </c>
      <c r="D34" s="1" t="s">
        <v>111</v>
      </c>
      <c r="E34" s="63">
        <f t="shared" si="1"/>
        <v>0</v>
      </c>
      <c r="F34" s="3">
        <v>0</v>
      </c>
      <c r="G34" s="3">
        <v>0</v>
      </c>
      <c r="H34" s="3">
        <v>16757</v>
      </c>
      <c r="I34" s="3">
        <v>9563</v>
      </c>
      <c r="J34" s="3">
        <f t="shared" si="0"/>
        <v>7194</v>
      </c>
      <c r="K34" s="22" t="s">
        <v>303</v>
      </c>
      <c r="L34" s="22" t="s">
        <v>110</v>
      </c>
      <c r="M34" s="51" t="s">
        <v>213</v>
      </c>
    </row>
    <row r="35" spans="1:13" s="52" customFormat="1" ht="90" customHeight="1">
      <c r="A35" s="50">
        <v>31</v>
      </c>
      <c r="B35" s="16" t="s">
        <v>93</v>
      </c>
      <c r="C35" s="12" t="s">
        <v>72</v>
      </c>
      <c r="D35" s="1" t="s">
        <v>42</v>
      </c>
      <c r="E35" s="63">
        <f t="shared" si="1"/>
        <v>0</v>
      </c>
      <c r="F35" s="3">
        <v>0</v>
      </c>
      <c r="G35" s="3">
        <v>0</v>
      </c>
      <c r="H35" s="3">
        <v>58506</v>
      </c>
      <c r="I35" s="3">
        <v>33083</v>
      </c>
      <c r="J35" s="3">
        <f t="shared" si="0"/>
        <v>25423</v>
      </c>
      <c r="K35" s="24" t="s">
        <v>18</v>
      </c>
      <c r="L35" s="24" t="s">
        <v>110</v>
      </c>
      <c r="M35" s="51" t="s">
        <v>213</v>
      </c>
    </row>
    <row r="36" spans="1:13" s="52" customFormat="1" ht="148.5" customHeight="1">
      <c r="A36" s="50">
        <v>32</v>
      </c>
      <c r="B36" s="16" t="s">
        <v>93</v>
      </c>
      <c r="C36" s="12" t="s">
        <v>84</v>
      </c>
      <c r="D36" s="1" t="s">
        <v>112</v>
      </c>
      <c r="E36" s="2">
        <f>(F36+G36)/H36</f>
        <v>0.6717377881448957</v>
      </c>
      <c r="F36" s="3">
        <v>136666</v>
      </c>
      <c r="G36" s="3">
        <v>19994</v>
      </c>
      <c r="H36" s="3">
        <v>233216</v>
      </c>
      <c r="I36" s="3">
        <v>56195</v>
      </c>
      <c r="J36" s="3">
        <f t="shared" si="0"/>
        <v>177021</v>
      </c>
      <c r="K36" s="22" t="s">
        <v>108</v>
      </c>
      <c r="L36" s="22" t="s">
        <v>44</v>
      </c>
      <c r="M36" s="51" t="s">
        <v>213</v>
      </c>
    </row>
    <row r="37" spans="1:13" s="52" customFormat="1" ht="143.25" customHeight="1">
      <c r="A37" s="50">
        <v>33</v>
      </c>
      <c r="B37" s="16" t="s">
        <v>93</v>
      </c>
      <c r="C37" s="12" t="s">
        <v>113</v>
      </c>
      <c r="D37" s="1" t="s">
        <v>114</v>
      </c>
      <c r="E37" s="2">
        <f>(F37+G37)/H37</f>
        <v>0.13623164414647437</v>
      </c>
      <c r="F37" s="61">
        <v>19751</v>
      </c>
      <c r="G37" s="61">
        <v>0</v>
      </c>
      <c r="H37" s="61">
        <v>144981</v>
      </c>
      <c r="I37" s="61">
        <v>82256</v>
      </c>
      <c r="J37" s="61">
        <f t="shared" si="0"/>
        <v>62725</v>
      </c>
      <c r="K37" s="22" t="s">
        <v>20</v>
      </c>
      <c r="L37" s="22" t="s">
        <v>110</v>
      </c>
      <c r="M37" s="51" t="s">
        <v>213</v>
      </c>
    </row>
    <row r="38" spans="1:13" s="52" customFormat="1" ht="225.75" customHeight="1">
      <c r="A38" s="50">
        <v>34</v>
      </c>
      <c r="B38" s="16" t="s">
        <v>93</v>
      </c>
      <c r="C38" s="12" t="s">
        <v>246</v>
      </c>
      <c r="D38" s="1" t="s">
        <v>115</v>
      </c>
      <c r="E38" s="2">
        <f>(F38+G38)/H38</f>
        <v>0.15526597517139676</v>
      </c>
      <c r="F38" s="3">
        <v>23163</v>
      </c>
      <c r="G38" s="3">
        <v>86336</v>
      </c>
      <c r="H38" s="53">
        <v>705235</v>
      </c>
      <c r="I38" s="3">
        <f>282383*0.92537</f>
        <v>261308.75671000002</v>
      </c>
      <c r="J38" s="3">
        <f t="shared" si="0"/>
        <v>443926.24329</v>
      </c>
      <c r="K38" s="22" t="s">
        <v>21</v>
      </c>
      <c r="L38" s="22" t="s">
        <v>190</v>
      </c>
      <c r="M38" s="51" t="s">
        <v>213</v>
      </c>
    </row>
    <row r="39" spans="1:13" s="52" customFormat="1" ht="94.5" customHeight="1">
      <c r="A39" s="50">
        <v>35</v>
      </c>
      <c r="B39" s="16" t="s">
        <v>93</v>
      </c>
      <c r="C39" s="1" t="s">
        <v>305</v>
      </c>
      <c r="D39" s="1" t="s">
        <v>202</v>
      </c>
      <c r="E39" s="2">
        <f>(F39+G39)/H39</f>
        <v>0.1474388623726812</v>
      </c>
      <c r="F39" s="3">
        <v>8138</v>
      </c>
      <c r="G39" s="3">
        <v>6844</v>
      </c>
      <c r="H39" s="3">
        <v>101615</v>
      </c>
      <c r="I39" s="3">
        <v>22941</v>
      </c>
      <c r="J39" s="3">
        <f t="shared" si="0"/>
        <v>78674</v>
      </c>
      <c r="K39" s="22" t="s">
        <v>223</v>
      </c>
      <c r="L39" s="22" t="s">
        <v>224</v>
      </c>
      <c r="M39" s="51" t="s">
        <v>213</v>
      </c>
    </row>
    <row r="40" spans="1:13" s="52" customFormat="1" ht="86.25" customHeight="1">
      <c r="A40" s="50">
        <v>36</v>
      </c>
      <c r="B40" s="16" t="s">
        <v>93</v>
      </c>
      <c r="C40" s="12" t="s">
        <v>261</v>
      </c>
      <c r="D40" s="1" t="s">
        <v>71</v>
      </c>
      <c r="E40" s="2" t="s">
        <v>109</v>
      </c>
      <c r="F40" s="3">
        <v>0</v>
      </c>
      <c r="G40" s="3">
        <v>0</v>
      </c>
      <c r="H40" s="3">
        <v>4117</v>
      </c>
      <c r="I40" s="3">
        <f>9240*0.27168</f>
        <v>2510.3232</v>
      </c>
      <c r="J40" s="3">
        <f t="shared" si="0"/>
        <v>1606.6768000000002</v>
      </c>
      <c r="K40" s="24" t="s">
        <v>18</v>
      </c>
      <c r="L40" s="24" t="s">
        <v>110</v>
      </c>
      <c r="M40" s="51" t="s">
        <v>213</v>
      </c>
    </row>
    <row r="41" spans="1:13" s="52" customFormat="1" ht="109.5" customHeight="1">
      <c r="A41" s="50">
        <v>37</v>
      </c>
      <c r="B41" s="16" t="s">
        <v>93</v>
      </c>
      <c r="C41" s="1" t="s">
        <v>247</v>
      </c>
      <c r="D41" s="1" t="s">
        <v>203</v>
      </c>
      <c r="E41" s="2">
        <f aca="true" t="shared" si="2" ref="E41:E48">(F41+G41)/H41</f>
        <v>0.40402412871707244</v>
      </c>
      <c r="F41" s="3">
        <v>70458</v>
      </c>
      <c r="G41" s="3">
        <v>3</v>
      </c>
      <c r="H41" s="3">
        <v>174398</v>
      </c>
      <c r="I41" s="3">
        <v>86795</v>
      </c>
      <c r="J41" s="3">
        <f t="shared" si="0"/>
        <v>87603</v>
      </c>
      <c r="K41" s="22" t="s">
        <v>225</v>
      </c>
      <c r="L41" s="22" t="s">
        <v>226</v>
      </c>
      <c r="M41" s="51" t="s">
        <v>213</v>
      </c>
    </row>
    <row r="42" spans="1:13" s="52" customFormat="1" ht="92.25" customHeight="1">
      <c r="A42" s="50">
        <v>38</v>
      </c>
      <c r="B42" s="16" t="s">
        <v>93</v>
      </c>
      <c r="C42" s="12" t="s">
        <v>74</v>
      </c>
      <c r="D42" s="12" t="s">
        <v>116</v>
      </c>
      <c r="E42" s="2">
        <f t="shared" si="2"/>
        <v>0.4022946966441769</v>
      </c>
      <c r="F42" s="3">
        <v>141374</v>
      </c>
      <c r="G42" s="3">
        <v>0</v>
      </c>
      <c r="H42" s="3">
        <v>351419</v>
      </c>
      <c r="I42" s="3">
        <v>33499</v>
      </c>
      <c r="J42" s="3">
        <f t="shared" si="0"/>
        <v>317920</v>
      </c>
      <c r="K42" s="18" t="s">
        <v>67</v>
      </c>
      <c r="L42" s="18" t="s">
        <v>110</v>
      </c>
      <c r="M42" s="51" t="s">
        <v>213</v>
      </c>
    </row>
    <row r="43" spans="1:13" s="52" customFormat="1" ht="67.5" customHeight="1">
      <c r="A43" s="50">
        <v>39</v>
      </c>
      <c r="B43" s="16" t="s">
        <v>93</v>
      </c>
      <c r="C43" s="12" t="s">
        <v>83</v>
      </c>
      <c r="D43" s="12" t="s">
        <v>143</v>
      </c>
      <c r="E43" s="2">
        <f>(F43+G43)/H43</f>
        <v>0.9667995919502921</v>
      </c>
      <c r="F43" s="3">
        <v>31275</v>
      </c>
      <c r="G43" s="3">
        <v>0</v>
      </c>
      <c r="H43" s="3">
        <v>32349</v>
      </c>
      <c r="I43" s="3">
        <v>8375</v>
      </c>
      <c r="J43" s="3">
        <f t="shared" si="0"/>
        <v>23974</v>
      </c>
      <c r="K43" s="22" t="s">
        <v>61</v>
      </c>
      <c r="L43" s="22" t="s">
        <v>110</v>
      </c>
      <c r="M43" s="51" t="s">
        <v>213</v>
      </c>
    </row>
    <row r="44" spans="1:13" s="52" customFormat="1" ht="107.25" customHeight="1">
      <c r="A44" s="50">
        <v>40</v>
      </c>
      <c r="B44" s="16" t="s">
        <v>93</v>
      </c>
      <c r="C44" s="1" t="s">
        <v>264</v>
      </c>
      <c r="D44" s="1" t="s">
        <v>139</v>
      </c>
      <c r="E44" s="2">
        <f t="shared" si="2"/>
        <v>0.49469839937950605</v>
      </c>
      <c r="F44" s="3">
        <v>310359</v>
      </c>
      <c r="G44" s="3">
        <v>9185</v>
      </c>
      <c r="H44" s="3">
        <v>645937</v>
      </c>
      <c r="I44" s="3">
        <f>327959*0.9542</f>
        <v>312938.4778</v>
      </c>
      <c r="J44" s="3">
        <f t="shared" si="0"/>
        <v>332998.5222</v>
      </c>
      <c r="K44" s="22" t="s">
        <v>304</v>
      </c>
      <c r="L44" s="22" t="s">
        <v>110</v>
      </c>
      <c r="M44" s="51" t="s">
        <v>213</v>
      </c>
    </row>
    <row r="45" spans="1:13" s="52" customFormat="1" ht="105.75" customHeight="1">
      <c r="A45" s="50">
        <v>41</v>
      </c>
      <c r="B45" s="16" t="s">
        <v>93</v>
      </c>
      <c r="C45" s="1" t="s">
        <v>315</v>
      </c>
      <c r="D45" s="1" t="s">
        <v>316</v>
      </c>
      <c r="E45" s="2" t="s">
        <v>316</v>
      </c>
      <c r="F45" s="3" t="s">
        <v>316</v>
      </c>
      <c r="G45" s="3" t="s">
        <v>316</v>
      </c>
      <c r="H45" s="3" t="s">
        <v>316</v>
      </c>
      <c r="I45" s="3" t="s">
        <v>316</v>
      </c>
      <c r="J45" s="3" t="s">
        <v>109</v>
      </c>
      <c r="K45" s="22" t="s">
        <v>317</v>
      </c>
      <c r="L45" s="22" t="s">
        <v>316</v>
      </c>
      <c r="M45" s="51" t="s">
        <v>316</v>
      </c>
    </row>
    <row r="46" spans="1:13" s="52" customFormat="1" ht="92.25" customHeight="1">
      <c r="A46" s="50">
        <v>42</v>
      </c>
      <c r="B46" s="16" t="s">
        <v>93</v>
      </c>
      <c r="C46" s="12" t="s">
        <v>144</v>
      </c>
      <c r="D46" s="12" t="s">
        <v>145</v>
      </c>
      <c r="E46" s="2">
        <f t="shared" si="2"/>
        <v>0.9195934500282327</v>
      </c>
      <c r="F46" s="3">
        <v>32359</v>
      </c>
      <c r="G46" s="3">
        <v>213</v>
      </c>
      <c r="H46" s="3">
        <v>35420</v>
      </c>
      <c r="I46" s="3">
        <v>13203</v>
      </c>
      <c r="J46" s="3">
        <f t="shared" si="0"/>
        <v>22217</v>
      </c>
      <c r="K46" s="22" t="s">
        <v>35</v>
      </c>
      <c r="L46" s="22" t="s">
        <v>45</v>
      </c>
      <c r="M46" s="51" t="s">
        <v>213</v>
      </c>
    </row>
    <row r="47" spans="1:13" s="54" customFormat="1" ht="182.25" customHeight="1">
      <c r="A47" s="50">
        <v>43</v>
      </c>
      <c r="B47" s="16" t="s">
        <v>98</v>
      </c>
      <c r="C47" s="12" t="s">
        <v>7</v>
      </c>
      <c r="D47" s="1" t="s">
        <v>127</v>
      </c>
      <c r="E47" s="2">
        <f>(F47+G47)/H47</f>
        <v>0.35769005541655147</v>
      </c>
      <c r="F47" s="3">
        <v>365061</v>
      </c>
      <c r="G47" s="3">
        <v>51517</v>
      </c>
      <c r="H47" s="3">
        <v>1164634</v>
      </c>
      <c r="I47" s="3">
        <v>385327</v>
      </c>
      <c r="J47" s="3">
        <f t="shared" si="0"/>
        <v>779307</v>
      </c>
      <c r="K47" s="24" t="s">
        <v>301</v>
      </c>
      <c r="L47" s="22" t="s">
        <v>128</v>
      </c>
      <c r="M47" s="51" t="s">
        <v>213</v>
      </c>
    </row>
    <row r="48" spans="1:13" s="54" customFormat="1" ht="180" customHeight="1">
      <c r="A48" s="50">
        <v>44</v>
      </c>
      <c r="B48" s="16" t="s">
        <v>98</v>
      </c>
      <c r="C48" s="12" t="s">
        <v>8</v>
      </c>
      <c r="D48" s="1" t="s">
        <v>89</v>
      </c>
      <c r="E48" s="2">
        <f t="shared" si="2"/>
        <v>0.12235377513492106</v>
      </c>
      <c r="F48" s="3">
        <v>67966</v>
      </c>
      <c r="G48" s="3">
        <v>17301</v>
      </c>
      <c r="H48" s="3">
        <v>696889</v>
      </c>
      <c r="I48" s="3">
        <v>248455</v>
      </c>
      <c r="J48" s="3">
        <f t="shared" si="0"/>
        <v>448434</v>
      </c>
      <c r="K48" s="62" t="s">
        <v>322</v>
      </c>
      <c r="L48" s="22" t="s">
        <v>128</v>
      </c>
      <c r="M48" s="51" t="s">
        <v>213</v>
      </c>
    </row>
    <row r="49" spans="1:13" s="54" customFormat="1" ht="127.5" customHeight="1">
      <c r="A49" s="50">
        <v>45</v>
      </c>
      <c r="B49" s="16" t="s">
        <v>98</v>
      </c>
      <c r="C49" s="12" t="s">
        <v>9</v>
      </c>
      <c r="D49" s="1" t="s">
        <v>89</v>
      </c>
      <c r="E49" s="2" t="s">
        <v>109</v>
      </c>
      <c r="F49" s="3">
        <v>664</v>
      </c>
      <c r="G49" s="3">
        <v>0</v>
      </c>
      <c r="H49" s="3">
        <v>421951</v>
      </c>
      <c r="I49" s="3">
        <v>212158</v>
      </c>
      <c r="J49" s="3">
        <f t="shared" si="0"/>
        <v>209793</v>
      </c>
      <c r="K49" s="24" t="s">
        <v>18</v>
      </c>
      <c r="L49" s="24" t="s">
        <v>110</v>
      </c>
      <c r="M49" s="51" t="s">
        <v>213</v>
      </c>
    </row>
    <row r="50" spans="1:13" s="52" customFormat="1" ht="136.5" customHeight="1">
      <c r="A50" s="50">
        <v>46</v>
      </c>
      <c r="B50" s="16" t="s">
        <v>98</v>
      </c>
      <c r="C50" s="12" t="s">
        <v>251</v>
      </c>
      <c r="D50" s="1" t="s">
        <v>124</v>
      </c>
      <c r="E50" s="2">
        <f aca="true" t="shared" si="3" ref="E50:E58">(F50+G50)/H50</f>
        <v>0.7501293326435592</v>
      </c>
      <c r="F50" s="3">
        <v>2750</v>
      </c>
      <c r="G50" s="3">
        <v>150</v>
      </c>
      <c r="H50" s="3">
        <v>3866</v>
      </c>
      <c r="I50" s="3">
        <v>3280</v>
      </c>
      <c r="J50" s="3">
        <f t="shared" si="0"/>
        <v>586</v>
      </c>
      <c r="K50" s="17" t="s">
        <v>26</v>
      </c>
      <c r="L50" s="18" t="s">
        <v>53</v>
      </c>
      <c r="M50" s="51" t="s">
        <v>213</v>
      </c>
    </row>
    <row r="51" spans="1:13" s="52" customFormat="1" ht="125.25" customHeight="1">
      <c r="A51" s="50">
        <v>47</v>
      </c>
      <c r="B51" s="16" t="s">
        <v>98</v>
      </c>
      <c r="C51" s="12" t="s">
        <v>252</v>
      </c>
      <c r="D51" s="1" t="s">
        <v>124</v>
      </c>
      <c r="E51" s="2">
        <f t="shared" si="3"/>
        <v>0.16192437289404718</v>
      </c>
      <c r="F51" s="3">
        <v>2595</v>
      </c>
      <c r="G51" s="3">
        <v>0</v>
      </c>
      <c r="H51" s="3">
        <v>16026</v>
      </c>
      <c r="I51" s="3">
        <v>4373</v>
      </c>
      <c r="J51" s="3">
        <f t="shared" si="0"/>
        <v>11653</v>
      </c>
      <c r="K51" s="17" t="s">
        <v>26</v>
      </c>
      <c r="L51" s="18" t="s">
        <v>212</v>
      </c>
      <c r="M51" s="51" t="s">
        <v>213</v>
      </c>
    </row>
    <row r="52" spans="1:13" s="52" customFormat="1" ht="81.75" customHeight="1">
      <c r="A52" s="50">
        <v>48</v>
      </c>
      <c r="B52" s="16" t="s">
        <v>98</v>
      </c>
      <c r="C52" s="12" t="s">
        <v>239</v>
      </c>
      <c r="D52" s="1" t="s">
        <v>124</v>
      </c>
      <c r="E52" s="2">
        <f>(F52+G52)/H52</f>
        <v>0.8297407912687585</v>
      </c>
      <c r="F52" s="3">
        <v>3587</v>
      </c>
      <c r="G52" s="3">
        <v>2495</v>
      </c>
      <c r="H52" s="3">
        <v>7330</v>
      </c>
      <c r="I52" s="3">
        <v>5023</v>
      </c>
      <c r="J52" s="3">
        <f>H52-I52</f>
        <v>2307</v>
      </c>
      <c r="K52" s="22" t="s">
        <v>208</v>
      </c>
      <c r="L52" s="18" t="s">
        <v>110</v>
      </c>
      <c r="M52" s="51" t="s">
        <v>213</v>
      </c>
    </row>
    <row r="53" spans="1:13" s="52" customFormat="1" ht="132.75" customHeight="1">
      <c r="A53" s="50">
        <v>49</v>
      </c>
      <c r="B53" s="16" t="s">
        <v>98</v>
      </c>
      <c r="C53" s="12" t="s">
        <v>253</v>
      </c>
      <c r="D53" s="12" t="s">
        <v>124</v>
      </c>
      <c r="E53" s="2" t="e">
        <f t="shared" si="3"/>
        <v>#DIV/0!</v>
      </c>
      <c r="F53" s="3"/>
      <c r="G53" s="3"/>
      <c r="H53" s="3"/>
      <c r="I53" s="3"/>
      <c r="J53" s="3">
        <f t="shared" si="0"/>
        <v>0</v>
      </c>
      <c r="K53" s="24" t="s">
        <v>27</v>
      </c>
      <c r="L53" s="22" t="s">
        <v>53</v>
      </c>
      <c r="M53" s="51" t="s">
        <v>213</v>
      </c>
    </row>
    <row r="54" spans="1:13" s="52" customFormat="1" ht="90" customHeight="1">
      <c r="A54" s="50">
        <v>50</v>
      </c>
      <c r="B54" s="16" t="s">
        <v>98</v>
      </c>
      <c r="C54" s="12" t="s">
        <v>69</v>
      </c>
      <c r="D54" s="12" t="s">
        <v>240</v>
      </c>
      <c r="E54" s="2">
        <f t="shared" si="3"/>
        <v>0.29203680203045684</v>
      </c>
      <c r="F54" s="3">
        <v>1839</v>
      </c>
      <c r="G54" s="3">
        <v>2</v>
      </c>
      <c r="H54" s="3">
        <v>6304</v>
      </c>
      <c r="I54" s="3">
        <v>3533</v>
      </c>
      <c r="J54" s="3">
        <f t="shared" si="0"/>
        <v>2771</v>
      </c>
      <c r="K54" s="22" t="s">
        <v>70</v>
      </c>
      <c r="L54" s="24" t="s">
        <v>211</v>
      </c>
      <c r="M54" s="51" t="s">
        <v>213</v>
      </c>
    </row>
    <row r="55" spans="1:13" s="52" customFormat="1" ht="84.75" customHeight="1">
      <c r="A55" s="50">
        <v>51</v>
      </c>
      <c r="B55" s="16" t="s">
        <v>99</v>
      </c>
      <c r="C55" s="1" t="s">
        <v>13</v>
      </c>
      <c r="D55" s="1" t="s">
        <v>87</v>
      </c>
      <c r="E55" s="2">
        <f t="shared" si="3"/>
        <v>0.5678315884612488</v>
      </c>
      <c r="F55" s="3">
        <v>72679</v>
      </c>
      <c r="G55" s="3">
        <v>2712</v>
      </c>
      <c r="H55" s="3">
        <v>132770</v>
      </c>
      <c r="I55" s="3">
        <v>47446</v>
      </c>
      <c r="J55" s="3">
        <f t="shared" si="0"/>
        <v>85324</v>
      </c>
      <c r="K55" s="22" t="s">
        <v>66</v>
      </c>
      <c r="L55" s="22" t="s">
        <v>91</v>
      </c>
      <c r="M55" s="51" t="s">
        <v>213</v>
      </c>
    </row>
    <row r="56" spans="1:13" s="52" customFormat="1" ht="96.75" customHeight="1">
      <c r="A56" s="50">
        <v>52</v>
      </c>
      <c r="B56" s="16" t="s">
        <v>99</v>
      </c>
      <c r="C56" s="1" t="s">
        <v>12</v>
      </c>
      <c r="D56" s="1" t="s">
        <v>88</v>
      </c>
      <c r="E56" s="2">
        <f t="shared" si="3"/>
        <v>0.8709981167608286</v>
      </c>
      <c r="F56" s="3">
        <v>896</v>
      </c>
      <c r="G56" s="3">
        <v>29</v>
      </c>
      <c r="H56" s="3">
        <v>1062</v>
      </c>
      <c r="I56" s="3">
        <v>630</v>
      </c>
      <c r="J56" s="3">
        <f t="shared" si="0"/>
        <v>432</v>
      </c>
      <c r="K56" s="17" t="s">
        <v>31</v>
      </c>
      <c r="L56" s="18" t="s">
        <v>189</v>
      </c>
      <c r="M56" s="51" t="s">
        <v>213</v>
      </c>
    </row>
    <row r="57" spans="1:13" s="52" customFormat="1" ht="100.5" customHeight="1">
      <c r="A57" s="50">
        <v>53</v>
      </c>
      <c r="B57" s="16" t="s">
        <v>99</v>
      </c>
      <c r="C57" s="1" t="s">
        <v>11</v>
      </c>
      <c r="D57" s="1" t="s">
        <v>88</v>
      </c>
      <c r="E57" s="2">
        <f t="shared" si="3"/>
        <v>0.9038642789820923</v>
      </c>
      <c r="F57" s="3">
        <v>4795</v>
      </c>
      <c r="G57" s="3">
        <v>0</v>
      </c>
      <c r="H57" s="3">
        <v>5305</v>
      </c>
      <c r="I57" s="3">
        <v>3151</v>
      </c>
      <c r="J57" s="3">
        <f t="shared" si="0"/>
        <v>2154</v>
      </c>
      <c r="K57" s="24" t="s">
        <v>30</v>
      </c>
      <c r="L57" s="24" t="s">
        <v>110</v>
      </c>
      <c r="M57" s="51" t="s">
        <v>213</v>
      </c>
    </row>
    <row r="58" spans="1:13" s="52" customFormat="1" ht="86.25" customHeight="1">
      <c r="A58" s="50">
        <v>54</v>
      </c>
      <c r="B58" s="16" t="s">
        <v>99</v>
      </c>
      <c r="C58" s="1" t="s">
        <v>188</v>
      </c>
      <c r="D58" s="1" t="s">
        <v>142</v>
      </c>
      <c r="E58" s="2">
        <f t="shared" si="3"/>
        <v>1.09596398736476</v>
      </c>
      <c r="F58" s="3">
        <v>199152</v>
      </c>
      <c r="G58" s="3">
        <v>0</v>
      </c>
      <c r="H58" s="3">
        <v>181714</v>
      </c>
      <c r="I58" s="3">
        <v>100723</v>
      </c>
      <c r="J58" s="3">
        <f t="shared" si="0"/>
        <v>80991</v>
      </c>
      <c r="K58" s="24" t="s">
        <v>32</v>
      </c>
      <c r="L58" s="24" t="s">
        <v>110</v>
      </c>
      <c r="M58" s="51" t="s">
        <v>213</v>
      </c>
    </row>
    <row r="59" spans="1:13" s="52" customFormat="1" ht="85.5" customHeight="1">
      <c r="A59" s="50">
        <v>55</v>
      </c>
      <c r="B59" s="16" t="s">
        <v>92</v>
      </c>
      <c r="C59" s="12" t="s">
        <v>0</v>
      </c>
      <c r="D59" s="1" t="s">
        <v>37</v>
      </c>
      <c r="E59" s="2" t="s">
        <v>109</v>
      </c>
      <c r="F59" s="3">
        <v>0</v>
      </c>
      <c r="G59" s="3">
        <v>0</v>
      </c>
      <c r="H59" s="3">
        <v>33675</v>
      </c>
      <c r="I59" s="3">
        <v>20145</v>
      </c>
      <c r="J59" s="3">
        <f t="shared" si="0"/>
        <v>13530</v>
      </c>
      <c r="K59" s="17" t="s">
        <v>18</v>
      </c>
      <c r="L59" s="17" t="s">
        <v>110</v>
      </c>
      <c r="M59" s="51" t="s">
        <v>213</v>
      </c>
    </row>
    <row r="60" spans="1:13" s="52" customFormat="1" ht="107.25" customHeight="1">
      <c r="A60" s="50">
        <v>56</v>
      </c>
      <c r="B60" s="16" t="s">
        <v>95</v>
      </c>
      <c r="C60" s="1" t="s">
        <v>254</v>
      </c>
      <c r="D60" s="12" t="s">
        <v>120</v>
      </c>
      <c r="E60" s="2">
        <f>(F60+G60)/H60</f>
        <v>0.23597946287519747</v>
      </c>
      <c r="F60" s="3">
        <v>3525</v>
      </c>
      <c r="G60" s="61">
        <v>60</v>
      </c>
      <c r="H60" s="3">
        <v>15192</v>
      </c>
      <c r="I60" s="3">
        <f>10557*0.9727</f>
        <v>10268.7939</v>
      </c>
      <c r="J60" s="3">
        <f t="shared" si="0"/>
        <v>4923.206099999999</v>
      </c>
      <c r="K60" s="22" t="s">
        <v>62</v>
      </c>
      <c r="L60" s="22" t="s">
        <v>110</v>
      </c>
      <c r="M60" s="51" t="s">
        <v>213</v>
      </c>
    </row>
    <row r="61" spans="1:13" s="52" customFormat="1" ht="125.25" customHeight="1">
      <c r="A61" s="50">
        <v>57</v>
      </c>
      <c r="B61" s="16" t="s">
        <v>96</v>
      </c>
      <c r="C61" s="1" t="s">
        <v>1</v>
      </c>
      <c r="D61" s="1" t="s">
        <v>121</v>
      </c>
      <c r="E61" s="2">
        <f>(F61+G61)/H61</f>
        <v>0.2107336697771853</v>
      </c>
      <c r="F61" s="3">
        <v>17705</v>
      </c>
      <c r="G61" s="3">
        <v>0</v>
      </c>
      <c r="H61" s="3">
        <v>84016</v>
      </c>
      <c r="I61" s="3">
        <v>30411</v>
      </c>
      <c r="J61" s="3">
        <f t="shared" si="0"/>
        <v>53605</v>
      </c>
      <c r="K61" s="22" t="s">
        <v>227</v>
      </c>
      <c r="L61" s="22" t="s">
        <v>110</v>
      </c>
      <c r="M61" s="51" t="s">
        <v>213</v>
      </c>
    </row>
    <row r="62" spans="1:13" s="52" customFormat="1" ht="123" customHeight="1">
      <c r="A62" s="50">
        <v>58</v>
      </c>
      <c r="B62" s="16" t="s">
        <v>96</v>
      </c>
      <c r="C62" s="1" t="s">
        <v>2</v>
      </c>
      <c r="D62" s="1" t="s">
        <v>121</v>
      </c>
      <c r="E62" s="2">
        <f>(F62+G62)/H62</f>
        <v>0.3162936692348457</v>
      </c>
      <c r="F62" s="3">
        <v>38795</v>
      </c>
      <c r="G62" s="3">
        <v>0</v>
      </c>
      <c r="H62" s="3">
        <v>122655</v>
      </c>
      <c r="I62" s="3">
        <v>37055</v>
      </c>
      <c r="J62" s="3">
        <f t="shared" si="0"/>
        <v>85600</v>
      </c>
      <c r="K62" s="22" t="s">
        <v>228</v>
      </c>
      <c r="L62" s="22" t="s">
        <v>110</v>
      </c>
      <c r="M62" s="51" t="s">
        <v>213</v>
      </c>
    </row>
    <row r="63" spans="1:13" s="52" customFormat="1" ht="97.5" customHeight="1">
      <c r="A63" s="50">
        <v>59</v>
      </c>
      <c r="B63" s="16" t="s">
        <v>96</v>
      </c>
      <c r="C63" s="12" t="s">
        <v>263</v>
      </c>
      <c r="D63" s="1" t="s">
        <v>234</v>
      </c>
      <c r="E63" s="2" t="s">
        <v>109</v>
      </c>
      <c r="F63" s="3">
        <v>0</v>
      </c>
      <c r="G63" s="3">
        <v>0</v>
      </c>
      <c r="H63" s="3">
        <f>8975*0.89111</f>
        <v>7997.71225</v>
      </c>
      <c r="I63" s="3">
        <f>5517*0.89111</f>
        <v>4916.25387</v>
      </c>
      <c r="J63" s="3">
        <f t="shared" si="0"/>
        <v>3081.45838</v>
      </c>
      <c r="K63" s="22" t="s">
        <v>18</v>
      </c>
      <c r="L63" s="22" t="s">
        <v>110</v>
      </c>
      <c r="M63" s="51" t="s">
        <v>213</v>
      </c>
    </row>
    <row r="64" spans="1:13" s="52" customFormat="1" ht="108.75" customHeight="1">
      <c r="A64" s="50">
        <v>60</v>
      </c>
      <c r="B64" s="16" t="s">
        <v>96</v>
      </c>
      <c r="C64" s="12" t="s">
        <v>320</v>
      </c>
      <c r="D64" s="12" t="s">
        <v>146</v>
      </c>
      <c r="E64" s="2">
        <f>(F64+G64)/H64</f>
        <v>0.37738320979141526</v>
      </c>
      <c r="F64" s="3">
        <v>32838</v>
      </c>
      <c r="G64" s="3">
        <v>0</v>
      </c>
      <c r="H64" s="3">
        <v>87015</v>
      </c>
      <c r="I64" s="3">
        <v>31903</v>
      </c>
      <c r="J64" s="3">
        <f t="shared" si="0"/>
        <v>55112</v>
      </c>
      <c r="K64" s="22" t="s">
        <v>229</v>
      </c>
      <c r="L64" s="22" t="s">
        <v>110</v>
      </c>
      <c r="M64" s="51" t="s">
        <v>213</v>
      </c>
    </row>
    <row r="65" spans="1:7" ht="15.75">
      <c r="A65" s="5"/>
      <c r="B65" s="5"/>
      <c r="F65" s="9"/>
      <c r="G65" s="9"/>
    </row>
    <row r="66" spans="1:13" s="10" customFormat="1" ht="15.75">
      <c r="A66" s="5"/>
      <c r="B66" s="5"/>
      <c r="C66" s="6"/>
      <c r="D66" s="6"/>
      <c r="E66" s="8"/>
      <c r="F66" s="9"/>
      <c r="G66" s="9"/>
      <c r="K66" s="11"/>
      <c r="L66" s="11"/>
      <c r="M66" s="27"/>
    </row>
    <row r="67" spans="1:13" s="10" customFormat="1" ht="15.75">
      <c r="A67" s="5"/>
      <c r="B67" s="5"/>
      <c r="C67" s="6"/>
      <c r="D67" s="6"/>
      <c r="E67" s="8"/>
      <c r="F67" s="8"/>
      <c r="G67" s="8"/>
      <c r="K67" s="11"/>
      <c r="L67" s="11"/>
      <c r="M67" s="27"/>
    </row>
    <row r="68" spans="1:13" s="10" customFormat="1" ht="15.75">
      <c r="A68" s="5"/>
      <c r="B68" s="5"/>
      <c r="C68" s="6"/>
      <c r="D68" s="6"/>
      <c r="E68" s="8"/>
      <c r="F68" s="8"/>
      <c r="G68" s="8"/>
      <c r="K68" s="11"/>
      <c r="L68" s="11"/>
      <c r="M68" s="27"/>
    </row>
    <row r="69" spans="1:13" s="10" customFormat="1" ht="15.75">
      <c r="A69" s="5"/>
      <c r="B69" s="5"/>
      <c r="C69" s="6"/>
      <c r="D69" s="6"/>
      <c r="E69" s="8"/>
      <c r="F69" s="8"/>
      <c r="G69" s="8"/>
      <c r="K69" s="11"/>
      <c r="L69" s="11"/>
      <c r="M69" s="27"/>
    </row>
    <row r="70" spans="1:13" s="10" customFormat="1" ht="15.75">
      <c r="A70" s="5"/>
      <c r="B70" s="5"/>
      <c r="C70" s="6"/>
      <c r="D70" s="6"/>
      <c r="E70" s="8"/>
      <c r="F70" s="8"/>
      <c r="G70" s="8"/>
      <c r="K70" s="11"/>
      <c r="L70" s="11"/>
      <c r="M70" s="27"/>
    </row>
    <row r="71" spans="1:13" s="10" customFormat="1" ht="15.75">
      <c r="A71" s="5"/>
      <c r="B71" s="5"/>
      <c r="C71" s="6"/>
      <c r="D71" s="6"/>
      <c r="E71" s="8"/>
      <c r="F71" s="8"/>
      <c r="G71" s="8"/>
      <c r="K71" s="11"/>
      <c r="L71" s="11"/>
      <c r="M71" s="27"/>
    </row>
    <row r="72" spans="1:13" s="10" customFormat="1" ht="15.75">
      <c r="A72" s="5"/>
      <c r="B72" s="5"/>
      <c r="C72" s="6"/>
      <c r="D72" s="6"/>
      <c r="E72" s="8"/>
      <c r="F72" s="8"/>
      <c r="G72" s="8"/>
      <c r="K72" s="11"/>
      <c r="L72" s="11"/>
      <c r="M72" s="27"/>
    </row>
    <row r="73" spans="1:13" s="10" customFormat="1" ht="15.75">
      <c r="A73" s="5"/>
      <c r="B73" s="5"/>
      <c r="C73" s="6"/>
      <c r="D73" s="6"/>
      <c r="E73" s="8"/>
      <c r="F73" s="8"/>
      <c r="G73" s="8"/>
      <c r="K73" s="11"/>
      <c r="L73" s="11"/>
      <c r="M73" s="27"/>
    </row>
    <row r="74" spans="1:13" s="10" customFormat="1" ht="15.75">
      <c r="A74" s="5"/>
      <c r="B74" s="5"/>
      <c r="C74" s="6"/>
      <c r="D74" s="6"/>
      <c r="E74" s="8"/>
      <c r="F74" s="8"/>
      <c r="G74" s="8"/>
      <c r="K74" s="11"/>
      <c r="L74" s="11"/>
      <c r="M74" s="27"/>
    </row>
    <row r="75" spans="1:13" s="10" customFormat="1" ht="15.75">
      <c r="A75" s="5"/>
      <c r="B75" s="5"/>
      <c r="C75" s="6"/>
      <c r="D75" s="6"/>
      <c r="E75" s="8"/>
      <c r="F75" s="8"/>
      <c r="G75" s="8"/>
      <c r="K75" s="11"/>
      <c r="L75" s="11"/>
      <c r="M75" s="27"/>
    </row>
    <row r="76" spans="1:13" s="10" customFormat="1" ht="15.75">
      <c r="A76" s="5"/>
      <c r="B76" s="5"/>
      <c r="C76" s="6"/>
      <c r="D76" s="6"/>
      <c r="E76" s="8"/>
      <c r="F76" s="8"/>
      <c r="G76" s="8"/>
      <c r="K76" s="11"/>
      <c r="L76" s="11"/>
      <c r="M76" s="27"/>
    </row>
    <row r="77" spans="1:13" s="10" customFormat="1" ht="15.75">
      <c r="A77" s="5"/>
      <c r="B77" s="5"/>
      <c r="C77" s="6"/>
      <c r="D77" s="6"/>
      <c r="E77" s="8"/>
      <c r="F77" s="8"/>
      <c r="G77" s="8"/>
      <c r="K77" s="11"/>
      <c r="L77" s="11"/>
      <c r="M77" s="27"/>
    </row>
    <row r="78" spans="1:13" s="10" customFormat="1" ht="15.75">
      <c r="A78" s="5"/>
      <c r="B78" s="5"/>
      <c r="C78" s="6"/>
      <c r="D78" s="6"/>
      <c r="E78" s="8"/>
      <c r="F78" s="8"/>
      <c r="G78" s="8"/>
      <c r="K78" s="11"/>
      <c r="L78" s="11"/>
      <c r="M78" s="27"/>
    </row>
    <row r="79" spans="1:13" s="10" customFormat="1" ht="15.75">
      <c r="A79" s="5"/>
      <c r="B79" s="5"/>
      <c r="C79" s="6"/>
      <c r="D79" s="6"/>
      <c r="E79" s="8"/>
      <c r="F79" s="8"/>
      <c r="G79" s="8"/>
      <c r="K79" s="11"/>
      <c r="L79" s="11"/>
      <c r="M79" s="27"/>
    </row>
    <row r="80" spans="1:13" s="10" customFormat="1" ht="15.75">
      <c r="A80" s="5"/>
      <c r="B80" s="5"/>
      <c r="C80" s="6"/>
      <c r="D80" s="6"/>
      <c r="E80" s="8"/>
      <c r="F80" s="8"/>
      <c r="G80" s="8"/>
      <c r="K80" s="11"/>
      <c r="L80" s="11"/>
      <c r="M80" s="27"/>
    </row>
  </sheetData>
  <sheetProtection/>
  <autoFilter ref="B3:L64"/>
  <mergeCells count="10">
    <mergeCell ref="H3:H4"/>
    <mergeCell ref="K3:K4"/>
    <mergeCell ref="L3:L4"/>
    <mergeCell ref="M3:M4"/>
    <mergeCell ref="A3:A4"/>
    <mergeCell ref="B3:B4"/>
    <mergeCell ref="C3:C4"/>
    <mergeCell ref="E3:E4"/>
    <mergeCell ref="F3:F4"/>
    <mergeCell ref="G3:G4"/>
  </mergeCells>
  <printOptions horizontalCentered="1"/>
  <pageMargins left="0.3937007874015748" right="0.2755905511811024" top="0.3937007874015748" bottom="0.3937007874015748" header="0.1968503937007874" footer="0.1968503937007874"/>
  <pageSetup fitToHeight="0" fitToWidth="1" horizontalDpi="600" verticalDpi="600" orientation="landscape" paperSize="8" scale="48" r:id="rId4"/>
  <drawing r:id="rId3"/>
  <legacyDrawing r:id="rId2"/>
</worksheet>
</file>

<file path=xl/worksheets/sheet3.xml><?xml version="1.0" encoding="utf-8"?>
<worksheet xmlns="http://schemas.openxmlformats.org/spreadsheetml/2006/main" xmlns:r="http://schemas.openxmlformats.org/officeDocument/2006/relationships">
  <sheetPr>
    <tabColor rgb="FF00B0F0"/>
    <pageSetUpPr fitToPage="1"/>
  </sheetPr>
  <dimension ref="A1:M80"/>
  <sheetViews>
    <sheetView showGridLines="0" view="pageBreakPreview" zoomScale="55" zoomScaleNormal="70" zoomScaleSheetLayoutView="55" zoomScalePageLayoutView="0" workbookViewId="0" topLeftCell="A1">
      <pane xSplit="1" ySplit="4" topLeftCell="B5" activePane="bottomRight" state="frozen"/>
      <selection pane="topLeft" activeCell="H25" sqref="H25"/>
      <selection pane="topRight" activeCell="H25" sqref="H25"/>
      <selection pane="bottomLeft" activeCell="H25" sqref="H25"/>
      <selection pane="bottomRight" activeCell="H25" sqref="H25"/>
    </sheetView>
  </sheetViews>
  <sheetFormatPr defaultColWidth="9.00390625" defaultRowHeight="13.5"/>
  <cols>
    <col min="1" max="1" width="5.625" style="7" customWidth="1"/>
    <col min="2" max="2" width="17.50390625" style="7" customWidth="1"/>
    <col min="3" max="3" width="47.00390625" style="6" customWidth="1"/>
    <col min="4" max="4" width="60.25390625" style="6" customWidth="1"/>
    <col min="5" max="7" width="12.50390625" style="8" customWidth="1"/>
    <col min="8" max="8" width="19.375" style="10" bestFit="1" customWidth="1"/>
    <col min="9" max="10" width="12.50390625" style="10" customWidth="1"/>
    <col min="11" max="11" width="63.00390625" style="11" customWidth="1"/>
    <col min="12" max="12" width="60.75390625" style="11" customWidth="1"/>
    <col min="13" max="13" width="22.50390625" style="27" customWidth="1"/>
  </cols>
  <sheetData>
    <row r="1" ht="23.25">
      <c r="A1" s="30" t="s">
        <v>241</v>
      </c>
    </row>
    <row r="2" spans="1:13" ht="51" customHeight="1">
      <c r="A2" s="15"/>
      <c r="B2" s="15"/>
      <c r="C2" s="15"/>
      <c r="D2" s="15"/>
      <c r="E2" s="15"/>
      <c r="F2" s="15"/>
      <c r="G2" s="15"/>
      <c r="H2" s="15"/>
      <c r="I2" s="13"/>
      <c r="J2" s="13"/>
      <c r="K2" s="14"/>
      <c r="L2" s="14"/>
      <c r="M2" s="26"/>
    </row>
    <row r="3" spans="1:13" ht="42.75" customHeight="1">
      <c r="A3" s="72"/>
      <c r="B3" s="73" t="s">
        <v>103</v>
      </c>
      <c r="C3" s="73" t="s">
        <v>73</v>
      </c>
      <c r="D3" s="19"/>
      <c r="E3" s="76" t="s">
        <v>242</v>
      </c>
      <c r="F3" s="78" t="s">
        <v>106</v>
      </c>
      <c r="G3" s="78" t="s">
        <v>105</v>
      </c>
      <c r="H3" s="67" t="s">
        <v>104</v>
      </c>
      <c r="I3" s="28" t="s">
        <v>16</v>
      </c>
      <c r="J3" s="29"/>
      <c r="K3" s="69" t="s">
        <v>17</v>
      </c>
      <c r="L3" s="70" t="s">
        <v>38</v>
      </c>
      <c r="M3" s="78" t="s">
        <v>90</v>
      </c>
    </row>
    <row r="4" spans="1:13" ht="34.5" customHeight="1">
      <c r="A4" s="72"/>
      <c r="B4" s="73"/>
      <c r="C4" s="73"/>
      <c r="D4" s="20" t="s">
        <v>36</v>
      </c>
      <c r="E4" s="77"/>
      <c r="F4" s="69"/>
      <c r="G4" s="69"/>
      <c r="H4" s="68"/>
      <c r="I4" s="21" t="s">
        <v>14</v>
      </c>
      <c r="J4" s="21" t="s">
        <v>15</v>
      </c>
      <c r="K4" s="69"/>
      <c r="L4" s="71"/>
      <c r="M4" s="78"/>
    </row>
    <row r="5" spans="1:13" s="52" customFormat="1" ht="90" customHeight="1">
      <c r="A5" s="50">
        <v>1</v>
      </c>
      <c r="B5" s="16" t="s">
        <v>102</v>
      </c>
      <c r="C5" s="12" t="s">
        <v>80</v>
      </c>
      <c r="D5" s="1" t="s">
        <v>233</v>
      </c>
      <c r="E5" s="2">
        <f>(F5+G5)/H5</f>
        <v>0.3318127511675899</v>
      </c>
      <c r="F5" s="3">
        <v>7020</v>
      </c>
      <c r="G5" s="3">
        <v>2145</v>
      </c>
      <c r="H5" s="3">
        <v>27621</v>
      </c>
      <c r="I5" s="3">
        <v>16206</v>
      </c>
      <c r="J5" s="3">
        <f aca="true" t="shared" si="0" ref="J5:J36">H5-I5</f>
        <v>11415</v>
      </c>
      <c r="K5" s="22" t="s">
        <v>34</v>
      </c>
      <c r="L5" s="22" t="s">
        <v>52</v>
      </c>
      <c r="M5" s="51" t="s">
        <v>213</v>
      </c>
    </row>
    <row r="6" spans="1:13" s="52" customFormat="1" ht="117" customHeight="1">
      <c r="A6" s="50">
        <v>2</v>
      </c>
      <c r="B6" s="16" t="s">
        <v>102</v>
      </c>
      <c r="C6" s="12" t="s">
        <v>81</v>
      </c>
      <c r="D6" s="1" t="s">
        <v>126</v>
      </c>
      <c r="E6" s="2">
        <f>(F6+G6)/H6</f>
        <v>0.5392914727967937</v>
      </c>
      <c r="F6" s="4">
        <v>57987</v>
      </c>
      <c r="G6" s="4">
        <v>545</v>
      </c>
      <c r="H6" s="4">
        <v>108535</v>
      </c>
      <c r="I6" s="4">
        <v>44722</v>
      </c>
      <c r="J6" s="4">
        <f t="shared" si="0"/>
        <v>63813</v>
      </c>
      <c r="K6" s="22" t="s">
        <v>60</v>
      </c>
      <c r="L6" s="22" t="s">
        <v>206</v>
      </c>
      <c r="M6" s="51" t="s">
        <v>213</v>
      </c>
    </row>
    <row r="7" spans="1:13" s="52" customFormat="1" ht="95.25" customHeight="1">
      <c r="A7" s="50">
        <v>3</v>
      </c>
      <c r="B7" s="16" t="s">
        <v>100</v>
      </c>
      <c r="C7" s="12" t="s">
        <v>250</v>
      </c>
      <c r="D7" s="1" t="s">
        <v>126</v>
      </c>
      <c r="E7" s="2">
        <f>(F7+G7)/H7</f>
        <v>0.27108994928061275</v>
      </c>
      <c r="F7" s="4">
        <v>6519</v>
      </c>
      <c r="G7" s="4">
        <v>1338</v>
      </c>
      <c r="H7" s="4">
        <v>28983</v>
      </c>
      <c r="I7" s="4">
        <f>16168*0.74747</f>
        <v>12085.09496</v>
      </c>
      <c r="J7" s="4">
        <f t="shared" si="0"/>
        <v>16897.905039999998</v>
      </c>
      <c r="K7" s="22" t="s">
        <v>33</v>
      </c>
      <c r="L7" s="22" t="s">
        <v>147</v>
      </c>
      <c r="M7" s="51" t="s">
        <v>213</v>
      </c>
    </row>
    <row r="8" spans="1:13" s="52" customFormat="1" ht="163.5" customHeight="1">
      <c r="A8" s="50">
        <v>4</v>
      </c>
      <c r="B8" s="16" t="s">
        <v>100</v>
      </c>
      <c r="C8" s="12" t="s">
        <v>75</v>
      </c>
      <c r="D8" s="1" t="s">
        <v>126</v>
      </c>
      <c r="E8" s="2">
        <f>(F8+G8)/H8</f>
        <v>0.6846788266808941</v>
      </c>
      <c r="F8" s="4">
        <v>119801</v>
      </c>
      <c r="G8" s="4">
        <v>3396</v>
      </c>
      <c r="H8" s="55">
        <v>179934</v>
      </c>
      <c r="I8" s="55">
        <v>49217</v>
      </c>
      <c r="J8" s="55">
        <f t="shared" si="0"/>
        <v>130717</v>
      </c>
      <c r="K8" s="23" t="s">
        <v>201</v>
      </c>
      <c r="L8" s="23" t="s">
        <v>150</v>
      </c>
      <c r="M8" s="51" t="s">
        <v>213</v>
      </c>
    </row>
    <row r="9" spans="1:13" s="52" customFormat="1" ht="95.25" customHeight="1">
      <c r="A9" s="50">
        <v>5</v>
      </c>
      <c r="B9" s="16" t="s">
        <v>100</v>
      </c>
      <c r="C9" s="12" t="s">
        <v>125</v>
      </c>
      <c r="D9" s="1" t="s">
        <v>234</v>
      </c>
      <c r="E9" s="56" t="s">
        <v>109</v>
      </c>
      <c r="F9" s="3">
        <v>0</v>
      </c>
      <c r="G9" s="3">
        <v>0</v>
      </c>
      <c r="H9" s="3">
        <v>8864</v>
      </c>
      <c r="I9" s="3">
        <v>4371</v>
      </c>
      <c r="J9" s="3">
        <f t="shared" si="0"/>
        <v>4493</v>
      </c>
      <c r="K9" s="24" t="s">
        <v>18</v>
      </c>
      <c r="L9" s="24" t="s">
        <v>110</v>
      </c>
      <c r="M9" s="51" t="s">
        <v>213</v>
      </c>
    </row>
    <row r="10" spans="1:13" s="52" customFormat="1" ht="106.5" customHeight="1">
      <c r="A10" s="50">
        <v>6</v>
      </c>
      <c r="B10" s="16" t="s">
        <v>300</v>
      </c>
      <c r="C10" s="1" t="s">
        <v>244</v>
      </c>
      <c r="D10" s="12" t="s">
        <v>132</v>
      </c>
      <c r="E10" s="2">
        <f>(F10+G10)/H10</f>
        <v>0.223836945266944</v>
      </c>
      <c r="F10" s="3">
        <v>12319</v>
      </c>
      <c r="G10" s="3">
        <v>3</v>
      </c>
      <c r="H10" s="3">
        <v>55049</v>
      </c>
      <c r="I10" s="3">
        <f>13748*0.75334</f>
        <v>10356.91832</v>
      </c>
      <c r="J10" s="3">
        <f t="shared" si="0"/>
        <v>44692.08168</v>
      </c>
      <c r="K10" s="22" t="s">
        <v>86</v>
      </c>
      <c r="L10" s="22" t="s">
        <v>205</v>
      </c>
      <c r="M10" s="51" t="s">
        <v>213</v>
      </c>
    </row>
    <row r="11" spans="1:13" s="52" customFormat="1" ht="132" customHeight="1">
      <c r="A11" s="50">
        <v>7</v>
      </c>
      <c r="B11" s="16" t="s">
        <v>102</v>
      </c>
      <c r="C11" s="12" t="s">
        <v>191</v>
      </c>
      <c r="D11" s="1" t="s">
        <v>234</v>
      </c>
      <c r="E11" s="2">
        <f>(F11+G11)/30021</f>
        <v>0.12427967089703874</v>
      </c>
      <c r="F11" s="3">
        <v>3721</v>
      </c>
      <c r="G11" s="3">
        <v>10</v>
      </c>
      <c r="H11" s="3">
        <v>31690</v>
      </c>
      <c r="I11" s="3">
        <f>25304*0.80279</f>
        <v>20313.79816</v>
      </c>
      <c r="J11" s="3">
        <f t="shared" si="0"/>
        <v>11376.201840000002</v>
      </c>
      <c r="K11" s="22" t="s">
        <v>134</v>
      </c>
      <c r="L11" s="22" t="s">
        <v>51</v>
      </c>
      <c r="M11" s="51" t="s">
        <v>213</v>
      </c>
    </row>
    <row r="12" spans="1:13" s="52" customFormat="1" ht="96.75" customHeight="1">
      <c r="A12" s="50">
        <v>8</v>
      </c>
      <c r="B12" s="16" t="s">
        <v>102</v>
      </c>
      <c r="C12" s="12" t="s">
        <v>243</v>
      </c>
      <c r="D12" s="1" t="s">
        <v>234</v>
      </c>
      <c r="E12" s="2" t="s">
        <v>109</v>
      </c>
      <c r="F12" s="3">
        <v>0</v>
      </c>
      <c r="G12" s="3">
        <v>0</v>
      </c>
      <c r="H12" s="3">
        <v>13679</v>
      </c>
      <c r="I12" s="3">
        <f>8144*0.75476</f>
        <v>6146.76544</v>
      </c>
      <c r="J12" s="3">
        <f t="shared" si="0"/>
        <v>7532.23456</v>
      </c>
      <c r="K12" s="24" t="s">
        <v>18</v>
      </c>
      <c r="L12" s="24" t="s">
        <v>110</v>
      </c>
      <c r="M12" s="51" t="s">
        <v>213</v>
      </c>
    </row>
    <row r="13" spans="1:13" s="52" customFormat="1" ht="101.25" customHeight="1">
      <c r="A13" s="50">
        <v>9</v>
      </c>
      <c r="B13" s="16" t="s">
        <v>102</v>
      </c>
      <c r="C13" s="12" t="s">
        <v>133</v>
      </c>
      <c r="D13" s="1" t="s">
        <v>234</v>
      </c>
      <c r="E13" s="2" t="s">
        <v>109</v>
      </c>
      <c r="F13" s="3">
        <v>0</v>
      </c>
      <c r="G13" s="3">
        <v>0</v>
      </c>
      <c r="H13" s="3">
        <v>9053</v>
      </c>
      <c r="I13" s="3">
        <v>3774</v>
      </c>
      <c r="J13" s="3">
        <f t="shared" si="0"/>
        <v>5279</v>
      </c>
      <c r="K13" s="24" t="s">
        <v>18</v>
      </c>
      <c r="L13" s="24" t="s">
        <v>110</v>
      </c>
      <c r="M13" s="51" t="s">
        <v>213</v>
      </c>
    </row>
    <row r="14" spans="1:13" s="52" customFormat="1" ht="127.5" customHeight="1">
      <c r="A14" s="50">
        <v>10</v>
      </c>
      <c r="B14" s="16" t="s">
        <v>102</v>
      </c>
      <c r="C14" s="12" t="s">
        <v>82</v>
      </c>
      <c r="D14" s="1" t="s">
        <v>126</v>
      </c>
      <c r="E14" s="2">
        <f aca="true" t="shared" si="1" ref="E14:E34">(F14+G14)/H14</f>
        <v>0.2826500970145963</v>
      </c>
      <c r="F14" s="4">
        <v>172348</v>
      </c>
      <c r="G14" s="4">
        <v>32761</v>
      </c>
      <c r="H14" s="4">
        <v>725664</v>
      </c>
      <c r="I14" s="4">
        <v>218919</v>
      </c>
      <c r="J14" s="4">
        <f t="shared" si="0"/>
        <v>506745</v>
      </c>
      <c r="K14" s="22" t="s">
        <v>59</v>
      </c>
      <c r="L14" s="22" t="s">
        <v>48</v>
      </c>
      <c r="M14" s="51" t="s">
        <v>213</v>
      </c>
    </row>
    <row r="15" spans="1:13" s="52" customFormat="1" ht="99.75" customHeight="1">
      <c r="A15" s="50">
        <v>11</v>
      </c>
      <c r="B15" s="16" t="s">
        <v>102</v>
      </c>
      <c r="C15" s="12" t="s">
        <v>258</v>
      </c>
      <c r="D15" s="12" t="s">
        <v>148</v>
      </c>
      <c r="E15" s="2">
        <f t="shared" si="1"/>
        <v>0.9452872798814027</v>
      </c>
      <c r="F15" s="4">
        <v>51778</v>
      </c>
      <c r="G15" s="4">
        <v>16450</v>
      </c>
      <c r="H15" s="4">
        <v>72177</v>
      </c>
      <c r="I15" s="4">
        <v>2833</v>
      </c>
      <c r="J15" s="4">
        <f t="shared" si="0"/>
        <v>69344</v>
      </c>
      <c r="K15" s="25" t="s">
        <v>22</v>
      </c>
      <c r="L15" s="23" t="s">
        <v>49</v>
      </c>
      <c r="M15" s="51" t="s">
        <v>213</v>
      </c>
    </row>
    <row r="16" spans="1:13" s="52" customFormat="1" ht="108.75" customHeight="1">
      <c r="A16" s="50">
        <v>12</v>
      </c>
      <c r="B16" s="16" t="s">
        <v>102</v>
      </c>
      <c r="C16" s="1" t="s">
        <v>259</v>
      </c>
      <c r="D16" s="12" t="s">
        <v>235</v>
      </c>
      <c r="E16" s="2">
        <f t="shared" si="1"/>
        <v>0.5070095772787319</v>
      </c>
      <c r="F16" s="3">
        <v>122060</v>
      </c>
      <c r="G16" s="3">
        <v>758</v>
      </c>
      <c r="H16" s="3">
        <v>242240</v>
      </c>
      <c r="I16" s="3">
        <f>40717+3241</f>
        <v>43958</v>
      </c>
      <c r="J16" s="3">
        <f t="shared" si="0"/>
        <v>198282</v>
      </c>
      <c r="K16" s="22" t="s">
        <v>149</v>
      </c>
      <c r="L16" s="22" t="s">
        <v>50</v>
      </c>
      <c r="M16" s="51" t="s">
        <v>213</v>
      </c>
    </row>
    <row r="17" spans="1:13" s="52" customFormat="1" ht="133.5" customHeight="1">
      <c r="A17" s="50">
        <v>13</v>
      </c>
      <c r="B17" s="16" t="s">
        <v>94</v>
      </c>
      <c r="C17" s="12" t="s">
        <v>306</v>
      </c>
      <c r="D17" s="1" t="s">
        <v>136</v>
      </c>
      <c r="E17" s="2">
        <f t="shared" si="1"/>
        <v>0.16595299567339936</v>
      </c>
      <c r="F17" s="3">
        <v>20451</v>
      </c>
      <c r="G17" s="3">
        <v>3791</v>
      </c>
      <c r="H17" s="3">
        <f>147120*0.992914</f>
        <v>146077.50767999998</v>
      </c>
      <c r="I17" s="3">
        <f>62500*0.992914</f>
        <v>62057.125</v>
      </c>
      <c r="J17" s="3">
        <f t="shared" si="0"/>
        <v>84020.38267999998</v>
      </c>
      <c r="K17" s="22" t="s">
        <v>137</v>
      </c>
      <c r="L17" s="22" t="s">
        <v>204</v>
      </c>
      <c r="M17" s="51" t="s">
        <v>213</v>
      </c>
    </row>
    <row r="18" spans="1:13" s="52" customFormat="1" ht="135.75" customHeight="1">
      <c r="A18" s="50">
        <v>14</v>
      </c>
      <c r="B18" s="16" t="s">
        <v>94</v>
      </c>
      <c r="C18" s="12" t="s">
        <v>307</v>
      </c>
      <c r="D18" s="1" t="s">
        <v>236</v>
      </c>
      <c r="E18" s="2">
        <f t="shared" si="1"/>
        <v>0.19735823547175135</v>
      </c>
      <c r="F18" s="3">
        <v>6814</v>
      </c>
      <c r="G18" s="3">
        <v>190</v>
      </c>
      <c r="H18" s="3">
        <f>39355*0.90176</f>
        <v>35488.7648</v>
      </c>
      <c r="I18" s="53">
        <f>22848*0.90176</f>
        <v>20603.41248</v>
      </c>
      <c r="J18" s="53">
        <f t="shared" si="0"/>
        <v>14885.352319999998</v>
      </c>
      <c r="K18" s="22" t="s">
        <v>308</v>
      </c>
      <c r="L18" s="22" t="s">
        <v>118</v>
      </c>
      <c r="M18" s="51" t="s">
        <v>213</v>
      </c>
    </row>
    <row r="19" spans="1:13" s="52" customFormat="1" ht="114" customHeight="1">
      <c r="A19" s="50">
        <v>15</v>
      </c>
      <c r="B19" s="16" t="s">
        <v>94</v>
      </c>
      <c r="C19" s="12" t="s">
        <v>193</v>
      </c>
      <c r="D19" s="1" t="s">
        <v>237</v>
      </c>
      <c r="E19" s="2">
        <f t="shared" si="1"/>
        <v>0.24453678514842606</v>
      </c>
      <c r="F19" s="3">
        <v>7528</v>
      </c>
      <c r="G19" s="3">
        <v>652</v>
      </c>
      <c r="H19" s="3">
        <v>33451</v>
      </c>
      <c r="I19" s="53">
        <v>21263</v>
      </c>
      <c r="J19" s="53">
        <f t="shared" si="0"/>
        <v>12188</v>
      </c>
      <c r="K19" s="22" t="s">
        <v>58</v>
      </c>
      <c r="L19" s="22" t="s">
        <v>118</v>
      </c>
      <c r="M19" s="51" t="s">
        <v>213</v>
      </c>
    </row>
    <row r="20" spans="1:13" s="52" customFormat="1" ht="96" customHeight="1">
      <c r="A20" s="50">
        <v>16</v>
      </c>
      <c r="B20" s="16" t="s">
        <v>94</v>
      </c>
      <c r="C20" s="12" t="s">
        <v>194</v>
      </c>
      <c r="D20" s="1" t="s">
        <v>43</v>
      </c>
      <c r="E20" s="2">
        <f t="shared" si="1"/>
        <v>0.1918024646774703</v>
      </c>
      <c r="F20" s="3">
        <v>4249</v>
      </c>
      <c r="G20" s="3">
        <v>0</v>
      </c>
      <c r="H20" s="3">
        <v>22153</v>
      </c>
      <c r="I20" s="3">
        <v>12057</v>
      </c>
      <c r="J20" s="3">
        <f t="shared" si="0"/>
        <v>10096</v>
      </c>
      <c r="K20" s="22" t="s">
        <v>23</v>
      </c>
      <c r="L20" s="22" t="s">
        <v>110</v>
      </c>
      <c r="M20" s="51" t="s">
        <v>213</v>
      </c>
    </row>
    <row r="21" spans="1:13" s="52" customFormat="1" ht="108" customHeight="1">
      <c r="A21" s="50">
        <v>17</v>
      </c>
      <c r="B21" s="16" t="s">
        <v>94</v>
      </c>
      <c r="C21" s="12" t="s">
        <v>195</v>
      </c>
      <c r="D21" s="12" t="s">
        <v>117</v>
      </c>
      <c r="E21" s="2">
        <f t="shared" si="1"/>
        <v>0.1297981310420554</v>
      </c>
      <c r="F21" s="3">
        <v>12721</v>
      </c>
      <c r="G21" s="3">
        <v>4183</v>
      </c>
      <c r="H21" s="3">
        <v>130233</v>
      </c>
      <c r="I21" s="3">
        <v>60930</v>
      </c>
      <c r="J21" s="3">
        <f t="shared" si="0"/>
        <v>69303</v>
      </c>
      <c r="K21" s="22" t="s">
        <v>68</v>
      </c>
      <c r="L21" s="22" t="s">
        <v>118</v>
      </c>
      <c r="M21" s="51" t="s">
        <v>213</v>
      </c>
    </row>
    <row r="22" spans="1:13" s="52" customFormat="1" ht="143.25" customHeight="1">
      <c r="A22" s="50">
        <v>18</v>
      </c>
      <c r="B22" s="16" t="s">
        <v>94</v>
      </c>
      <c r="C22" s="12" t="s">
        <v>196</v>
      </c>
      <c r="D22" s="12" t="s">
        <v>119</v>
      </c>
      <c r="E22" s="2">
        <f t="shared" si="1"/>
        <v>0.17894392854225102</v>
      </c>
      <c r="F22" s="57">
        <v>14196</v>
      </c>
      <c r="G22" s="57">
        <v>12088</v>
      </c>
      <c r="H22" s="57">
        <v>146884</v>
      </c>
      <c r="I22" s="58">
        <v>65528</v>
      </c>
      <c r="J22" s="58">
        <f t="shared" si="0"/>
        <v>81356</v>
      </c>
      <c r="K22" s="59" t="s">
        <v>63</v>
      </c>
      <c r="L22" s="22" t="s">
        <v>118</v>
      </c>
      <c r="M22" s="51" t="s">
        <v>213</v>
      </c>
    </row>
    <row r="23" spans="1:13" s="52" customFormat="1" ht="141.75" customHeight="1">
      <c r="A23" s="50">
        <v>19</v>
      </c>
      <c r="B23" s="16" t="s">
        <v>94</v>
      </c>
      <c r="C23" s="12" t="s">
        <v>197</v>
      </c>
      <c r="D23" s="12" t="s">
        <v>119</v>
      </c>
      <c r="E23" s="2">
        <f t="shared" si="1"/>
        <v>0.20388721132990262</v>
      </c>
      <c r="F23" s="3">
        <v>4707</v>
      </c>
      <c r="G23" s="3">
        <v>87</v>
      </c>
      <c r="H23" s="3">
        <v>23513</v>
      </c>
      <c r="I23" s="3">
        <v>13422</v>
      </c>
      <c r="J23" s="3">
        <f t="shared" si="0"/>
        <v>10091</v>
      </c>
      <c r="K23" s="22" t="s">
        <v>64</v>
      </c>
      <c r="L23" s="22" t="s">
        <v>118</v>
      </c>
      <c r="M23" s="51" t="s">
        <v>213</v>
      </c>
    </row>
    <row r="24" spans="1:13" s="52" customFormat="1" ht="142.5" customHeight="1">
      <c r="A24" s="50">
        <v>20</v>
      </c>
      <c r="B24" s="16" t="s">
        <v>94</v>
      </c>
      <c r="C24" s="12" t="s">
        <v>319</v>
      </c>
      <c r="D24" s="1" t="s">
        <v>135</v>
      </c>
      <c r="E24" s="2">
        <f t="shared" si="1"/>
        <v>0.327794616703299</v>
      </c>
      <c r="F24" s="3">
        <v>18526</v>
      </c>
      <c r="G24" s="3">
        <v>50080</v>
      </c>
      <c r="H24" s="3">
        <f>219772*0.952331</f>
        <v>209295.688532</v>
      </c>
      <c r="I24" s="3">
        <f>87126*0.952331</f>
        <v>82972.790706</v>
      </c>
      <c r="J24" s="3">
        <f t="shared" si="0"/>
        <v>126322.897826</v>
      </c>
      <c r="K24" s="22" t="s">
        <v>55</v>
      </c>
      <c r="L24" s="22" t="s">
        <v>46</v>
      </c>
      <c r="M24" s="51" t="s">
        <v>213</v>
      </c>
    </row>
    <row r="25" spans="1:13" s="52" customFormat="1" ht="151.5" customHeight="1">
      <c r="A25" s="50">
        <v>21</v>
      </c>
      <c r="B25" s="16" t="s">
        <v>94</v>
      </c>
      <c r="C25" s="12" t="s">
        <v>199</v>
      </c>
      <c r="D25" s="1" t="s">
        <v>138</v>
      </c>
      <c r="E25" s="2">
        <f t="shared" si="1"/>
        <v>0.40064102564102566</v>
      </c>
      <c r="F25" s="3">
        <v>72216</v>
      </c>
      <c r="G25" s="3">
        <v>16784</v>
      </c>
      <c r="H25" s="3">
        <v>222144</v>
      </c>
      <c r="I25" s="3">
        <v>43074</v>
      </c>
      <c r="J25" s="3">
        <f t="shared" si="0"/>
        <v>179070</v>
      </c>
      <c r="K25" s="22" t="s">
        <v>24</v>
      </c>
      <c r="L25" s="22" t="s">
        <v>47</v>
      </c>
      <c r="M25" s="51" t="s">
        <v>213</v>
      </c>
    </row>
    <row r="26" spans="1:13" s="52" customFormat="1" ht="154.5" customHeight="1">
      <c r="A26" s="50">
        <v>22</v>
      </c>
      <c r="B26" s="16" t="s">
        <v>94</v>
      </c>
      <c r="C26" s="12" t="s">
        <v>200</v>
      </c>
      <c r="D26" s="1" t="s">
        <v>40</v>
      </c>
      <c r="E26" s="2">
        <f t="shared" si="1"/>
        <v>0.5466701140779742</v>
      </c>
      <c r="F26" s="3">
        <v>209797</v>
      </c>
      <c r="G26" s="3">
        <v>139066</v>
      </c>
      <c r="H26" s="3">
        <v>638160</v>
      </c>
      <c r="I26" s="3">
        <v>142173</v>
      </c>
      <c r="J26" s="3">
        <f t="shared" si="0"/>
        <v>495987</v>
      </c>
      <c r="K26" s="22" t="s">
        <v>56</v>
      </c>
      <c r="L26" s="22" t="s">
        <v>41</v>
      </c>
      <c r="M26" s="51" t="s">
        <v>213</v>
      </c>
    </row>
    <row r="27" spans="1:13" s="52" customFormat="1" ht="277.5" customHeight="1">
      <c r="A27" s="50">
        <v>23</v>
      </c>
      <c r="B27" s="16" t="s">
        <v>101</v>
      </c>
      <c r="C27" s="1" t="s">
        <v>318</v>
      </c>
      <c r="D27" s="12" t="s">
        <v>129</v>
      </c>
      <c r="E27" s="2">
        <f t="shared" si="1"/>
        <v>0.42540365984930034</v>
      </c>
      <c r="F27" s="3">
        <v>1656</v>
      </c>
      <c r="G27" s="3">
        <v>320</v>
      </c>
      <c r="H27" s="3">
        <v>4645</v>
      </c>
      <c r="I27" s="3">
        <v>306</v>
      </c>
      <c r="J27" s="3">
        <f t="shared" si="0"/>
        <v>4339</v>
      </c>
      <c r="K27" s="22" t="s">
        <v>310</v>
      </c>
      <c r="L27" s="22" t="s">
        <v>214</v>
      </c>
      <c r="M27" s="51" t="s">
        <v>213</v>
      </c>
    </row>
    <row r="28" spans="1:13" s="52" customFormat="1" ht="97.5" customHeight="1">
      <c r="A28" s="50">
        <v>24</v>
      </c>
      <c r="B28" s="16" t="s">
        <v>101</v>
      </c>
      <c r="C28" s="1" t="s">
        <v>321</v>
      </c>
      <c r="D28" s="12" t="s">
        <v>130</v>
      </c>
      <c r="E28" s="2">
        <f t="shared" si="1"/>
        <v>0.3951385501981691</v>
      </c>
      <c r="F28" s="3">
        <v>68481</v>
      </c>
      <c r="G28" s="3">
        <v>2005</v>
      </c>
      <c r="H28" s="3">
        <v>178383</v>
      </c>
      <c r="I28" s="3">
        <v>60967</v>
      </c>
      <c r="J28" s="3">
        <f t="shared" si="0"/>
        <v>117416</v>
      </c>
      <c r="K28" s="22" t="s">
        <v>131</v>
      </c>
      <c r="L28" s="22" t="s">
        <v>215</v>
      </c>
      <c r="M28" s="51" t="s">
        <v>213</v>
      </c>
    </row>
    <row r="29" spans="1:13" s="52" customFormat="1" ht="153" customHeight="1">
      <c r="A29" s="50">
        <v>25</v>
      </c>
      <c r="B29" s="16" t="s">
        <v>97</v>
      </c>
      <c r="C29" s="1" t="s">
        <v>3</v>
      </c>
      <c r="D29" s="1" t="s">
        <v>122</v>
      </c>
      <c r="E29" s="2">
        <f t="shared" si="1"/>
        <v>0.06115957833515086</v>
      </c>
      <c r="F29" s="3">
        <v>2205</v>
      </c>
      <c r="G29" s="3">
        <v>487</v>
      </c>
      <c r="H29" s="3">
        <v>44016</v>
      </c>
      <c r="I29" s="3">
        <v>22616</v>
      </c>
      <c r="J29" s="3">
        <f t="shared" si="0"/>
        <v>21400</v>
      </c>
      <c r="K29" s="22" t="s">
        <v>216</v>
      </c>
      <c r="L29" s="22" t="s">
        <v>217</v>
      </c>
      <c r="M29" s="51" t="s">
        <v>213</v>
      </c>
    </row>
    <row r="30" spans="1:13" s="52" customFormat="1" ht="127.5" customHeight="1">
      <c r="A30" s="50">
        <v>26</v>
      </c>
      <c r="B30" s="16" t="s">
        <v>97</v>
      </c>
      <c r="C30" s="1" t="s">
        <v>245</v>
      </c>
      <c r="D30" s="1" t="s">
        <v>123</v>
      </c>
      <c r="E30" s="2">
        <f t="shared" si="1"/>
        <v>0.19823374324747875</v>
      </c>
      <c r="F30" s="3">
        <v>3900</v>
      </c>
      <c r="G30" s="3">
        <v>6852</v>
      </c>
      <c r="H30" s="3">
        <v>54239</v>
      </c>
      <c r="I30" s="3">
        <f>24978*0.74198</f>
        <v>18533.17644</v>
      </c>
      <c r="J30" s="3">
        <f t="shared" si="0"/>
        <v>35705.823560000004</v>
      </c>
      <c r="K30" s="22" t="s">
        <v>218</v>
      </c>
      <c r="L30" s="22" t="s">
        <v>219</v>
      </c>
      <c r="M30" s="51" t="s">
        <v>213</v>
      </c>
    </row>
    <row r="31" spans="1:13" s="52" customFormat="1" ht="210.75" customHeight="1">
      <c r="A31" s="50">
        <v>27</v>
      </c>
      <c r="B31" s="16" t="s">
        <v>97</v>
      </c>
      <c r="C31" s="1" t="s">
        <v>4</v>
      </c>
      <c r="D31" s="1" t="s">
        <v>123</v>
      </c>
      <c r="E31" s="2">
        <f t="shared" si="1"/>
        <v>0.13272575137384382</v>
      </c>
      <c r="F31" s="3">
        <v>11738</v>
      </c>
      <c r="G31" s="3">
        <v>0</v>
      </c>
      <c r="H31" s="3">
        <v>88438</v>
      </c>
      <c r="I31" s="3">
        <v>23122</v>
      </c>
      <c r="J31" s="3">
        <f t="shared" si="0"/>
        <v>65316</v>
      </c>
      <c r="K31" s="22" t="s">
        <v>107</v>
      </c>
      <c r="L31" s="22" t="s">
        <v>220</v>
      </c>
      <c r="M31" s="51" t="s">
        <v>213</v>
      </c>
    </row>
    <row r="32" spans="1:13" s="52" customFormat="1" ht="132.75" customHeight="1">
      <c r="A32" s="50">
        <v>28</v>
      </c>
      <c r="B32" s="16" t="s">
        <v>97</v>
      </c>
      <c r="C32" s="1" t="s">
        <v>5</v>
      </c>
      <c r="D32" s="1" t="s">
        <v>230</v>
      </c>
      <c r="E32" s="2">
        <f t="shared" si="1"/>
        <v>0.09044923521618692</v>
      </c>
      <c r="F32" s="3">
        <v>3755</v>
      </c>
      <c r="G32" s="3">
        <v>0</v>
      </c>
      <c r="H32" s="3">
        <v>41515</v>
      </c>
      <c r="I32" s="3">
        <v>24319</v>
      </c>
      <c r="J32" s="3">
        <f t="shared" si="0"/>
        <v>17196</v>
      </c>
      <c r="K32" s="22" t="s">
        <v>221</v>
      </c>
      <c r="L32" s="22" t="s">
        <v>110</v>
      </c>
      <c r="M32" s="51" t="s">
        <v>213</v>
      </c>
    </row>
    <row r="33" spans="1:13" s="52" customFormat="1" ht="131.25" customHeight="1">
      <c r="A33" s="50">
        <v>29</v>
      </c>
      <c r="B33" s="16" t="s">
        <v>97</v>
      </c>
      <c r="C33" s="12" t="s">
        <v>6</v>
      </c>
      <c r="D33" s="1" t="s">
        <v>222</v>
      </c>
      <c r="E33" s="2">
        <f t="shared" si="1"/>
        <v>0.2619210690942037</v>
      </c>
      <c r="F33" s="3">
        <v>89079</v>
      </c>
      <c r="G33" s="3">
        <v>8056</v>
      </c>
      <c r="H33" s="3">
        <v>370856</v>
      </c>
      <c r="I33" s="3">
        <v>130348</v>
      </c>
      <c r="J33" s="3">
        <f t="shared" si="0"/>
        <v>240508</v>
      </c>
      <c r="K33" s="22" t="s">
        <v>25</v>
      </c>
      <c r="L33" s="22" t="s">
        <v>39</v>
      </c>
      <c r="M33" s="51" t="s">
        <v>213</v>
      </c>
    </row>
    <row r="34" spans="1:13" s="52" customFormat="1" ht="104.25" customHeight="1">
      <c r="A34" s="50">
        <v>30</v>
      </c>
      <c r="B34" s="16" t="s">
        <v>93</v>
      </c>
      <c r="C34" s="12" t="s">
        <v>314</v>
      </c>
      <c r="D34" s="1" t="s">
        <v>111</v>
      </c>
      <c r="E34" s="60">
        <f t="shared" si="1"/>
        <v>0.001693134049509575</v>
      </c>
      <c r="F34" s="3">
        <v>29</v>
      </c>
      <c r="G34" s="3">
        <v>0</v>
      </c>
      <c r="H34" s="3">
        <v>17128</v>
      </c>
      <c r="I34" s="3">
        <v>9416</v>
      </c>
      <c r="J34" s="3">
        <f t="shared" si="0"/>
        <v>7712</v>
      </c>
      <c r="K34" s="22" t="s">
        <v>303</v>
      </c>
      <c r="L34" s="22" t="s">
        <v>110</v>
      </c>
      <c r="M34" s="51" t="s">
        <v>213</v>
      </c>
    </row>
    <row r="35" spans="1:13" s="52" customFormat="1" ht="90" customHeight="1">
      <c r="A35" s="50">
        <v>31</v>
      </c>
      <c r="B35" s="16" t="s">
        <v>93</v>
      </c>
      <c r="C35" s="12" t="s">
        <v>72</v>
      </c>
      <c r="D35" s="1" t="s">
        <v>42</v>
      </c>
      <c r="E35" s="2" t="s">
        <v>109</v>
      </c>
      <c r="F35" s="3">
        <v>0</v>
      </c>
      <c r="G35" s="3">
        <v>0</v>
      </c>
      <c r="H35" s="3">
        <v>65425</v>
      </c>
      <c r="I35" s="3">
        <v>42414</v>
      </c>
      <c r="J35" s="3">
        <f t="shared" si="0"/>
        <v>23011</v>
      </c>
      <c r="K35" s="24" t="s">
        <v>18</v>
      </c>
      <c r="L35" s="24" t="s">
        <v>110</v>
      </c>
      <c r="M35" s="51" t="s">
        <v>213</v>
      </c>
    </row>
    <row r="36" spans="1:13" s="52" customFormat="1" ht="148.5" customHeight="1">
      <c r="A36" s="50">
        <v>32</v>
      </c>
      <c r="B36" s="16" t="s">
        <v>93</v>
      </c>
      <c r="C36" s="12" t="s">
        <v>84</v>
      </c>
      <c r="D36" s="1" t="s">
        <v>112</v>
      </c>
      <c r="E36" s="2">
        <f>(F36+G36)/H36</f>
        <v>0.6426147623313516</v>
      </c>
      <c r="F36" s="3">
        <v>158886</v>
      </c>
      <c r="G36" s="3">
        <v>6818</v>
      </c>
      <c r="H36" s="3">
        <v>257859</v>
      </c>
      <c r="I36" s="3">
        <v>60790</v>
      </c>
      <c r="J36" s="3">
        <f t="shared" si="0"/>
        <v>197069</v>
      </c>
      <c r="K36" s="22" t="s">
        <v>108</v>
      </c>
      <c r="L36" s="22" t="s">
        <v>44</v>
      </c>
      <c r="M36" s="51" t="s">
        <v>213</v>
      </c>
    </row>
    <row r="37" spans="1:13" s="52" customFormat="1" ht="143.25" customHeight="1">
      <c r="A37" s="50">
        <v>33</v>
      </c>
      <c r="B37" s="16" t="s">
        <v>93</v>
      </c>
      <c r="C37" s="12" t="s">
        <v>113</v>
      </c>
      <c r="D37" s="1" t="s">
        <v>114</v>
      </c>
      <c r="E37" s="2">
        <f>(F37+G37)/H37</f>
        <v>0.13517797300969114</v>
      </c>
      <c r="F37" s="61">
        <v>20895</v>
      </c>
      <c r="G37" s="61">
        <v>0</v>
      </c>
      <c r="H37" s="61">
        <v>154574</v>
      </c>
      <c r="I37" s="61">
        <v>86312</v>
      </c>
      <c r="J37" s="61">
        <f aca="true" t="shared" si="2" ref="J37:J64">H37-I37</f>
        <v>68262</v>
      </c>
      <c r="K37" s="22" t="s">
        <v>20</v>
      </c>
      <c r="L37" s="22" t="s">
        <v>110</v>
      </c>
      <c r="M37" s="51" t="s">
        <v>213</v>
      </c>
    </row>
    <row r="38" spans="1:13" s="52" customFormat="1" ht="225.75" customHeight="1">
      <c r="A38" s="50">
        <v>34</v>
      </c>
      <c r="B38" s="16" t="s">
        <v>93</v>
      </c>
      <c r="C38" s="12" t="s">
        <v>246</v>
      </c>
      <c r="D38" s="1" t="s">
        <v>115</v>
      </c>
      <c r="E38" s="2">
        <f>(F38+G38)/H38</f>
        <v>0.1568141079631875</v>
      </c>
      <c r="F38" s="3">
        <v>22869</v>
      </c>
      <c r="G38" s="3">
        <v>78787</v>
      </c>
      <c r="H38" s="53">
        <v>648258</v>
      </c>
      <c r="I38" s="3">
        <f>285204*0.85802</f>
        <v>244710.73608</v>
      </c>
      <c r="J38" s="3">
        <f t="shared" si="2"/>
        <v>403547.26392</v>
      </c>
      <c r="K38" s="22" t="s">
        <v>21</v>
      </c>
      <c r="L38" s="22" t="s">
        <v>190</v>
      </c>
      <c r="M38" s="51" t="s">
        <v>213</v>
      </c>
    </row>
    <row r="39" spans="1:13" s="52" customFormat="1" ht="94.5" customHeight="1">
      <c r="A39" s="50">
        <v>35</v>
      </c>
      <c r="B39" s="16" t="s">
        <v>93</v>
      </c>
      <c r="C39" s="1" t="s">
        <v>260</v>
      </c>
      <c r="D39" s="1" t="s">
        <v>202</v>
      </c>
      <c r="E39" s="2">
        <f>(F39+G39)/H39</f>
        <v>0.25829821684346005</v>
      </c>
      <c r="F39" s="3">
        <v>5803</v>
      </c>
      <c r="G39" s="3">
        <v>6640</v>
      </c>
      <c r="H39" s="3">
        <v>48173</v>
      </c>
      <c r="I39" s="3">
        <f>6011*0.80986</f>
        <v>4868.06846</v>
      </c>
      <c r="J39" s="3">
        <f t="shared" si="2"/>
        <v>43304.93154</v>
      </c>
      <c r="K39" s="22" t="s">
        <v>223</v>
      </c>
      <c r="L39" s="22" t="s">
        <v>224</v>
      </c>
      <c r="M39" s="51" t="s">
        <v>213</v>
      </c>
    </row>
    <row r="40" spans="1:13" s="52" customFormat="1" ht="86.25" customHeight="1">
      <c r="A40" s="50">
        <v>36</v>
      </c>
      <c r="B40" s="16" t="s">
        <v>93</v>
      </c>
      <c r="C40" s="12" t="s">
        <v>261</v>
      </c>
      <c r="D40" s="1" t="s">
        <v>71</v>
      </c>
      <c r="E40" s="2" t="s">
        <v>109</v>
      </c>
      <c r="F40" s="3">
        <v>0</v>
      </c>
      <c r="G40" s="3">
        <v>0</v>
      </c>
      <c r="H40" s="3">
        <v>4117</v>
      </c>
      <c r="I40" s="3">
        <f>6688*0.27168</f>
        <v>1816.9958399999998</v>
      </c>
      <c r="J40" s="3">
        <f t="shared" si="2"/>
        <v>2300.0041600000004</v>
      </c>
      <c r="K40" s="24" t="s">
        <v>18</v>
      </c>
      <c r="L40" s="24" t="s">
        <v>110</v>
      </c>
      <c r="M40" s="51" t="s">
        <v>213</v>
      </c>
    </row>
    <row r="41" spans="1:13" s="52" customFormat="1" ht="109.5" customHeight="1">
      <c r="A41" s="50">
        <v>37</v>
      </c>
      <c r="B41" s="16" t="s">
        <v>93</v>
      </c>
      <c r="C41" s="1" t="s">
        <v>247</v>
      </c>
      <c r="D41" s="1" t="s">
        <v>203</v>
      </c>
      <c r="E41" s="2">
        <f aca="true" t="shared" si="3" ref="E41:E48">(F41+G41)/H41</f>
        <v>0.6038787477875315</v>
      </c>
      <c r="F41" s="3">
        <v>135099</v>
      </c>
      <c r="G41" s="3">
        <v>8</v>
      </c>
      <c r="H41" s="3">
        <v>223732</v>
      </c>
      <c r="I41" s="3">
        <v>73430</v>
      </c>
      <c r="J41" s="3">
        <f t="shared" si="2"/>
        <v>150302</v>
      </c>
      <c r="K41" s="22" t="s">
        <v>225</v>
      </c>
      <c r="L41" s="22" t="s">
        <v>226</v>
      </c>
      <c r="M41" s="51" t="s">
        <v>213</v>
      </c>
    </row>
    <row r="42" spans="1:13" s="52" customFormat="1" ht="92.25" customHeight="1">
      <c r="A42" s="50">
        <v>38</v>
      </c>
      <c r="B42" s="16" t="s">
        <v>93</v>
      </c>
      <c r="C42" s="12" t="s">
        <v>74</v>
      </c>
      <c r="D42" s="12" t="s">
        <v>116</v>
      </c>
      <c r="E42" s="2">
        <f t="shared" si="3"/>
        <v>0.4194837615554752</v>
      </c>
      <c r="F42" s="3">
        <v>141486</v>
      </c>
      <c r="G42" s="3">
        <v>0</v>
      </c>
      <c r="H42" s="3">
        <v>337286</v>
      </c>
      <c r="I42" s="3">
        <v>34767</v>
      </c>
      <c r="J42" s="3">
        <f t="shared" si="2"/>
        <v>302519</v>
      </c>
      <c r="K42" s="18" t="s">
        <v>67</v>
      </c>
      <c r="L42" s="18" t="s">
        <v>110</v>
      </c>
      <c r="M42" s="51" t="s">
        <v>213</v>
      </c>
    </row>
    <row r="43" spans="1:13" s="52" customFormat="1" ht="67.5" customHeight="1">
      <c r="A43" s="50">
        <v>39</v>
      </c>
      <c r="B43" s="16" t="s">
        <v>93</v>
      </c>
      <c r="C43" s="12" t="s">
        <v>83</v>
      </c>
      <c r="D43" s="12" t="s">
        <v>143</v>
      </c>
      <c r="E43" s="2">
        <f>(F43+G43)/H43</f>
        <v>0.625</v>
      </c>
      <c r="F43" s="3">
        <v>30650</v>
      </c>
      <c r="G43" s="3">
        <v>0</v>
      </c>
      <c r="H43" s="3">
        <v>49040</v>
      </c>
      <c r="I43" s="3">
        <v>8692</v>
      </c>
      <c r="J43" s="3">
        <f t="shared" si="2"/>
        <v>40348</v>
      </c>
      <c r="K43" s="22" t="s">
        <v>61</v>
      </c>
      <c r="L43" s="22" t="s">
        <v>110</v>
      </c>
      <c r="M43" s="51" t="s">
        <v>213</v>
      </c>
    </row>
    <row r="44" spans="1:13" s="52" customFormat="1" ht="107.25" customHeight="1">
      <c r="A44" s="50">
        <v>40</v>
      </c>
      <c r="B44" s="16" t="s">
        <v>93</v>
      </c>
      <c r="C44" s="1" t="s">
        <v>262</v>
      </c>
      <c r="D44" s="1" t="s">
        <v>139</v>
      </c>
      <c r="E44" s="2">
        <f t="shared" si="3"/>
        <v>0.4585456169556214</v>
      </c>
      <c r="F44" s="3">
        <v>278411</v>
      </c>
      <c r="G44" s="3">
        <v>3927</v>
      </c>
      <c r="H44" s="3">
        <v>615725</v>
      </c>
      <c r="I44" s="3">
        <f>322698*0.9542</f>
        <v>307918.4316</v>
      </c>
      <c r="J44" s="3">
        <f t="shared" si="2"/>
        <v>307806.5684</v>
      </c>
      <c r="K44" s="22" t="s">
        <v>304</v>
      </c>
      <c r="L44" s="22" t="s">
        <v>110</v>
      </c>
      <c r="M44" s="51" t="s">
        <v>213</v>
      </c>
    </row>
    <row r="45" spans="1:13" s="52" customFormat="1" ht="105.75" customHeight="1">
      <c r="A45" s="50">
        <v>41</v>
      </c>
      <c r="B45" s="16" t="s">
        <v>93</v>
      </c>
      <c r="C45" s="1" t="s">
        <v>315</v>
      </c>
      <c r="D45" s="1" t="s">
        <v>311</v>
      </c>
      <c r="E45" s="2" t="s">
        <v>311</v>
      </c>
      <c r="F45" s="3" t="s">
        <v>311</v>
      </c>
      <c r="G45" s="3" t="s">
        <v>311</v>
      </c>
      <c r="H45" s="3" t="s">
        <v>311</v>
      </c>
      <c r="I45" s="3" t="s">
        <v>312</v>
      </c>
      <c r="J45" s="3" t="s">
        <v>109</v>
      </c>
      <c r="K45" s="22" t="s">
        <v>313</v>
      </c>
      <c r="L45" s="22" t="s">
        <v>110</v>
      </c>
      <c r="M45" s="51" t="s">
        <v>311</v>
      </c>
    </row>
    <row r="46" spans="1:13" s="52" customFormat="1" ht="92.25" customHeight="1">
      <c r="A46" s="50">
        <v>42</v>
      </c>
      <c r="B46" s="16" t="s">
        <v>93</v>
      </c>
      <c r="C46" s="12" t="s">
        <v>144</v>
      </c>
      <c r="D46" s="12" t="s">
        <v>145</v>
      </c>
      <c r="E46" s="2">
        <f t="shared" si="3"/>
        <v>0.7135437564085417</v>
      </c>
      <c r="F46" s="3">
        <v>31793</v>
      </c>
      <c r="G46" s="3">
        <v>218</v>
      </c>
      <c r="H46" s="3">
        <v>44862</v>
      </c>
      <c r="I46" s="3">
        <v>18315</v>
      </c>
      <c r="J46" s="3">
        <f t="shared" si="2"/>
        <v>26547</v>
      </c>
      <c r="K46" s="22" t="s">
        <v>35</v>
      </c>
      <c r="L46" s="22" t="s">
        <v>45</v>
      </c>
      <c r="M46" s="51" t="s">
        <v>213</v>
      </c>
    </row>
    <row r="47" spans="1:13" s="54" customFormat="1" ht="182.25" customHeight="1">
      <c r="A47" s="50">
        <v>43</v>
      </c>
      <c r="B47" s="16" t="s">
        <v>98</v>
      </c>
      <c r="C47" s="12" t="s">
        <v>7</v>
      </c>
      <c r="D47" s="1" t="s">
        <v>127</v>
      </c>
      <c r="E47" s="2">
        <f>(F47+G47)/H47</f>
        <v>0.35522234153159143</v>
      </c>
      <c r="F47" s="3">
        <v>360759</v>
      </c>
      <c r="G47" s="3">
        <v>56066</v>
      </c>
      <c r="H47" s="3">
        <v>1173420</v>
      </c>
      <c r="I47" s="3">
        <v>406141</v>
      </c>
      <c r="J47" s="3">
        <f t="shared" si="2"/>
        <v>767279</v>
      </c>
      <c r="K47" s="24" t="s">
        <v>301</v>
      </c>
      <c r="L47" s="22" t="s">
        <v>128</v>
      </c>
      <c r="M47" s="51" t="s">
        <v>213</v>
      </c>
    </row>
    <row r="48" spans="1:13" s="54" customFormat="1" ht="180" customHeight="1">
      <c r="A48" s="50">
        <v>44</v>
      </c>
      <c r="B48" s="16" t="s">
        <v>98</v>
      </c>
      <c r="C48" s="12" t="s">
        <v>8</v>
      </c>
      <c r="D48" s="1" t="s">
        <v>89</v>
      </c>
      <c r="E48" s="2">
        <f t="shared" si="3"/>
        <v>0.1313677884195002</v>
      </c>
      <c r="F48" s="3">
        <v>67581</v>
      </c>
      <c r="G48" s="3">
        <v>22562</v>
      </c>
      <c r="H48" s="3">
        <v>686188</v>
      </c>
      <c r="I48" s="3">
        <v>293287</v>
      </c>
      <c r="J48" s="3">
        <f t="shared" si="2"/>
        <v>392901</v>
      </c>
      <c r="K48" s="62" t="s">
        <v>302</v>
      </c>
      <c r="L48" s="22" t="s">
        <v>128</v>
      </c>
      <c r="M48" s="51" t="s">
        <v>213</v>
      </c>
    </row>
    <row r="49" spans="1:13" s="54" customFormat="1" ht="127.5" customHeight="1">
      <c r="A49" s="50">
        <v>45</v>
      </c>
      <c r="B49" s="16" t="s">
        <v>98</v>
      </c>
      <c r="C49" s="12" t="s">
        <v>9</v>
      </c>
      <c r="D49" s="1" t="s">
        <v>89</v>
      </c>
      <c r="E49" s="2" t="s">
        <v>109</v>
      </c>
      <c r="F49" s="3">
        <v>540</v>
      </c>
      <c r="G49" s="3">
        <v>0</v>
      </c>
      <c r="H49" s="3">
        <v>408152</v>
      </c>
      <c r="I49" s="3">
        <v>228343</v>
      </c>
      <c r="J49" s="3">
        <f t="shared" si="2"/>
        <v>179809</v>
      </c>
      <c r="K49" s="24" t="s">
        <v>18</v>
      </c>
      <c r="L49" s="24" t="s">
        <v>110</v>
      </c>
      <c r="M49" s="51" t="s">
        <v>213</v>
      </c>
    </row>
    <row r="50" spans="1:13" s="52" customFormat="1" ht="136.5" customHeight="1">
      <c r="A50" s="50">
        <v>46</v>
      </c>
      <c r="B50" s="16" t="s">
        <v>98</v>
      </c>
      <c r="C50" s="12" t="s">
        <v>209</v>
      </c>
      <c r="D50" s="1" t="s">
        <v>124</v>
      </c>
      <c r="E50" s="2">
        <f aca="true" t="shared" si="4" ref="E50:E58">(F50+G50)/H50</f>
        <v>0.16489361702127658</v>
      </c>
      <c r="F50" s="3">
        <v>744</v>
      </c>
      <c r="G50" s="3">
        <v>0</v>
      </c>
      <c r="H50" s="3">
        <v>4512</v>
      </c>
      <c r="I50" s="3">
        <v>2050</v>
      </c>
      <c r="J50" s="3">
        <f t="shared" si="2"/>
        <v>2462</v>
      </c>
      <c r="K50" s="17" t="s">
        <v>26</v>
      </c>
      <c r="L50" s="18" t="s">
        <v>53</v>
      </c>
      <c r="M50" s="51" t="s">
        <v>213</v>
      </c>
    </row>
    <row r="51" spans="1:13" s="52" customFormat="1" ht="125.25" customHeight="1">
      <c r="A51" s="50">
        <v>47</v>
      </c>
      <c r="B51" s="16" t="s">
        <v>98</v>
      </c>
      <c r="C51" s="12" t="s">
        <v>210</v>
      </c>
      <c r="D51" s="1" t="s">
        <v>124</v>
      </c>
      <c r="E51" s="2">
        <f t="shared" si="4"/>
        <v>0.14606569900687547</v>
      </c>
      <c r="F51" s="3">
        <v>773</v>
      </c>
      <c r="G51" s="3">
        <v>183</v>
      </c>
      <c r="H51" s="3">
        <v>6545</v>
      </c>
      <c r="I51" s="3">
        <v>4201</v>
      </c>
      <c r="J51" s="3">
        <f t="shared" si="2"/>
        <v>2344</v>
      </c>
      <c r="K51" s="17" t="s">
        <v>26</v>
      </c>
      <c r="L51" s="18" t="s">
        <v>212</v>
      </c>
      <c r="M51" s="51" t="s">
        <v>213</v>
      </c>
    </row>
    <row r="52" spans="1:13" s="52" customFormat="1" ht="81.75" customHeight="1">
      <c r="A52" s="50">
        <v>48</v>
      </c>
      <c r="B52" s="16" t="s">
        <v>98</v>
      </c>
      <c r="C52" s="12" t="s">
        <v>239</v>
      </c>
      <c r="D52" s="1" t="s">
        <v>124</v>
      </c>
      <c r="E52" s="2">
        <f>(F52+G52)/H52</f>
        <v>0.47324756522784656</v>
      </c>
      <c r="F52" s="3">
        <v>3936</v>
      </c>
      <c r="G52" s="3">
        <v>0</v>
      </c>
      <c r="H52" s="3">
        <v>8317</v>
      </c>
      <c r="I52" s="3">
        <v>4882</v>
      </c>
      <c r="J52" s="3">
        <f>H52-I52</f>
        <v>3435</v>
      </c>
      <c r="K52" s="22" t="s">
        <v>208</v>
      </c>
      <c r="L52" s="18" t="s">
        <v>207</v>
      </c>
      <c r="M52" s="51" t="s">
        <v>213</v>
      </c>
    </row>
    <row r="53" spans="1:13" s="52" customFormat="1" ht="132.75" customHeight="1">
      <c r="A53" s="50">
        <v>49</v>
      </c>
      <c r="B53" s="16" t="s">
        <v>98</v>
      </c>
      <c r="C53" s="12" t="s">
        <v>238</v>
      </c>
      <c r="D53" s="12" t="s">
        <v>124</v>
      </c>
      <c r="E53" s="2">
        <f t="shared" si="4"/>
        <v>2.149286684782609</v>
      </c>
      <c r="F53" s="3">
        <v>12655</v>
      </c>
      <c r="G53" s="3">
        <v>0</v>
      </c>
      <c r="H53" s="3">
        <v>5888</v>
      </c>
      <c r="I53" s="3">
        <v>2748</v>
      </c>
      <c r="J53" s="3">
        <f t="shared" si="2"/>
        <v>3140</v>
      </c>
      <c r="K53" s="24" t="s">
        <v>27</v>
      </c>
      <c r="L53" s="22" t="s">
        <v>53</v>
      </c>
      <c r="M53" s="51" t="s">
        <v>213</v>
      </c>
    </row>
    <row r="54" spans="1:13" s="52" customFormat="1" ht="90" customHeight="1">
      <c r="A54" s="50">
        <v>50</v>
      </c>
      <c r="B54" s="16" t="s">
        <v>98</v>
      </c>
      <c r="C54" s="12" t="s">
        <v>69</v>
      </c>
      <c r="D54" s="12" t="s">
        <v>240</v>
      </c>
      <c r="E54" s="2">
        <f t="shared" si="4"/>
        <v>0.2056177309633531</v>
      </c>
      <c r="F54" s="3">
        <v>1874</v>
      </c>
      <c r="G54" s="3">
        <v>0</v>
      </c>
      <c r="H54" s="3">
        <v>9114</v>
      </c>
      <c r="I54" s="3">
        <v>4460</v>
      </c>
      <c r="J54" s="3">
        <f t="shared" si="2"/>
        <v>4654</v>
      </c>
      <c r="K54" s="22" t="s">
        <v>70</v>
      </c>
      <c r="L54" s="24" t="s">
        <v>211</v>
      </c>
      <c r="M54" s="51" t="s">
        <v>213</v>
      </c>
    </row>
    <row r="55" spans="1:13" s="52" customFormat="1" ht="84.75" customHeight="1">
      <c r="A55" s="50">
        <v>51</v>
      </c>
      <c r="B55" s="16" t="s">
        <v>99</v>
      </c>
      <c r="C55" s="1" t="s">
        <v>13</v>
      </c>
      <c r="D55" s="1" t="s">
        <v>87</v>
      </c>
      <c r="E55" s="2">
        <f t="shared" si="4"/>
        <v>0.6596988965924413</v>
      </c>
      <c r="F55" s="3">
        <v>80276</v>
      </c>
      <c r="G55" s="3">
        <v>2410</v>
      </c>
      <c r="H55" s="3">
        <v>125339</v>
      </c>
      <c r="I55" s="3">
        <v>48439</v>
      </c>
      <c r="J55" s="3">
        <f t="shared" si="2"/>
        <v>76900</v>
      </c>
      <c r="K55" s="22" t="s">
        <v>66</v>
      </c>
      <c r="L55" s="22" t="s">
        <v>91</v>
      </c>
      <c r="M55" s="51" t="s">
        <v>213</v>
      </c>
    </row>
    <row r="56" spans="1:13" s="52" customFormat="1" ht="96.75" customHeight="1">
      <c r="A56" s="50">
        <v>52</v>
      </c>
      <c r="B56" s="16" t="s">
        <v>99</v>
      </c>
      <c r="C56" s="1" t="s">
        <v>12</v>
      </c>
      <c r="D56" s="1" t="s">
        <v>88</v>
      </c>
      <c r="E56" s="2">
        <f t="shared" si="4"/>
        <v>1.4581881533101044</v>
      </c>
      <c r="F56" s="3">
        <v>798</v>
      </c>
      <c r="G56" s="3">
        <v>39</v>
      </c>
      <c r="H56" s="3">
        <v>574</v>
      </c>
      <c r="I56" s="3">
        <v>401</v>
      </c>
      <c r="J56" s="3">
        <f t="shared" si="2"/>
        <v>173</v>
      </c>
      <c r="K56" s="17" t="s">
        <v>31</v>
      </c>
      <c r="L56" s="18" t="s">
        <v>189</v>
      </c>
      <c r="M56" s="51" t="s">
        <v>213</v>
      </c>
    </row>
    <row r="57" spans="1:13" s="52" customFormat="1" ht="100.5" customHeight="1">
      <c r="A57" s="50">
        <v>53</v>
      </c>
      <c r="B57" s="16" t="s">
        <v>99</v>
      </c>
      <c r="C57" s="1" t="s">
        <v>11</v>
      </c>
      <c r="D57" s="1" t="s">
        <v>88</v>
      </c>
      <c r="E57" s="2">
        <f t="shared" si="4"/>
        <v>1.0862557177085603</v>
      </c>
      <c r="F57" s="3">
        <v>4987</v>
      </c>
      <c r="G57" s="3">
        <v>0</v>
      </c>
      <c r="H57" s="3">
        <v>4591</v>
      </c>
      <c r="I57" s="3">
        <v>3210</v>
      </c>
      <c r="J57" s="3">
        <f t="shared" si="2"/>
        <v>1381</v>
      </c>
      <c r="K57" s="24" t="s">
        <v>30</v>
      </c>
      <c r="L57" s="24" t="s">
        <v>110</v>
      </c>
      <c r="M57" s="51" t="s">
        <v>213</v>
      </c>
    </row>
    <row r="58" spans="1:13" s="52" customFormat="1" ht="86.25" customHeight="1">
      <c r="A58" s="50">
        <v>54</v>
      </c>
      <c r="B58" s="16" t="s">
        <v>99</v>
      </c>
      <c r="C58" s="1" t="s">
        <v>188</v>
      </c>
      <c r="D58" s="1" t="s">
        <v>142</v>
      </c>
      <c r="E58" s="2">
        <f t="shared" si="4"/>
        <v>1.0902428872095817</v>
      </c>
      <c r="F58" s="3">
        <v>185966</v>
      </c>
      <c r="G58" s="3">
        <v>0</v>
      </c>
      <c r="H58" s="3">
        <v>170573</v>
      </c>
      <c r="I58" s="3">
        <v>96309</v>
      </c>
      <c r="J58" s="3">
        <f t="shared" si="2"/>
        <v>74264</v>
      </c>
      <c r="K58" s="24" t="s">
        <v>32</v>
      </c>
      <c r="L58" s="24" t="s">
        <v>110</v>
      </c>
      <c r="M58" s="51" t="s">
        <v>213</v>
      </c>
    </row>
    <row r="59" spans="1:13" s="52" customFormat="1" ht="85.5" customHeight="1">
      <c r="A59" s="50">
        <v>55</v>
      </c>
      <c r="B59" s="16" t="s">
        <v>92</v>
      </c>
      <c r="C59" s="12" t="s">
        <v>0</v>
      </c>
      <c r="D59" s="1" t="s">
        <v>37</v>
      </c>
      <c r="E59" s="2" t="s">
        <v>109</v>
      </c>
      <c r="F59" s="3">
        <v>0</v>
      </c>
      <c r="G59" s="3">
        <v>0</v>
      </c>
      <c r="H59" s="3">
        <v>36031</v>
      </c>
      <c r="I59" s="3">
        <v>20804</v>
      </c>
      <c r="J59" s="3">
        <f t="shared" si="2"/>
        <v>15227</v>
      </c>
      <c r="K59" s="17" t="s">
        <v>18</v>
      </c>
      <c r="L59" s="17" t="s">
        <v>110</v>
      </c>
      <c r="M59" s="51" t="s">
        <v>213</v>
      </c>
    </row>
    <row r="60" spans="1:13" s="52" customFormat="1" ht="107.25" customHeight="1">
      <c r="A60" s="50">
        <v>56</v>
      </c>
      <c r="B60" s="16" t="s">
        <v>95</v>
      </c>
      <c r="C60" s="1" t="s">
        <v>254</v>
      </c>
      <c r="D60" s="12" t="s">
        <v>120</v>
      </c>
      <c r="E60" s="2">
        <f>(F60+G60)/H60</f>
        <v>0.23646666666666666</v>
      </c>
      <c r="F60" s="3">
        <v>3503</v>
      </c>
      <c r="G60" s="61">
        <v>44</v>
      </c>
      <c r="H60" s="3">
        <v>15000</v>
      </c>
      <c r="I60" s="3">
        <f>11057*0.92369</f>
        <v>10213.24033</v>
      </c>
      <c r="J60" s="3">
        <f t="shared" si="2"/>
        <v>4786.7596699999995</v>
      </c>
      <c r="K60" s="22" t="s">
        <v>62</v>
      </c>
      <c r="L60" s="22" t="s">
        <v>110</v>
      </c>
      <c r="M60" s="51" t="s">
        <v>213</v>
      </c>
    </row>
    <row r="61" spans="1:13" s="52" customFormat="1" ht="125.25" customHeight="1">
      <c r="A61" s="50">
        <v>57</v>
      </c>
      <c r="B61" s="16" t="s">
        <v>96</v>
      </c>
      <c r="C61" s="1" t="s">
        <v>1</v>
      </c>
      <c r="D61" s="1" t="s">
        <v>121</v>
      </c>
      <c r="E61" s="2">
        <f>(F61+G61)/H61</f>
        <v>0.24892649499030994</v>
      </c>
      <c r="F61" s="3">
        <v>19652</v>
      </c>
      <c r="G61" s="3">
        <v>0</v>
      </c>
      <c r="H61" s="3">
        <v>78947</v>
      </c>
      <c r="I61" s="3">
        <v>30735</v>
      </c>
      <c r="J61" s="3">
        <f t="shared" si="2"/>
        <v>48212</v>
      </c>
      <c r="K61" s="22" t="s">
        <v>227</v>
      </c>
      <c r="L61" s="22" t="s">
        <v>110</v>
      </c>
      <c r="M61" s="51" t="s">
        <v>213</v>
      </c>
    </row>
    <row r="62" spans="1:13" s="52" customFormat="1" ht="123" customHeight="1">
      <c r="A62" s="50">
        <v>58</v>
      </c>
      <c r="B62" s="16" t="s">
        <v>96</v>
      </c>
      <c r="C62" s="1" t="s">
        <v>2</v>
      </c>
      <c r="D62" s="1" t="s">
        <v>121</v>
      </c>
      <c r="E62" s="2">
        <f>(F62+G62)/H62</f>
        <v>0.33548824706700053</v>
      </c>
      <c r="F62" s="3">
        <v>40063</v>
      </c>
      <c r="G62" s="3">
        <v>0</v>
      </c>
      <c r="H62" s="3">
        <v>119417</v>
      </c>
      <c r="I62" s="3">
        <v>35319</v>
      </c>
      <c r="J62" s="3">
        <f t="shared" si="2"/>
        <v>84098</v>
      </c>
      <c r="K62" s="22" t="s">
        <v>228</v>
      </c>
      <c r="L62" s="22" t="s">
        <v>110</v>
      </c>
      <c r="M62" s="51" t="s">
        <v>213</v>
      </c>
    </row>
    <row r="63" spans="1:13" s="52" customFormat="1" ht="97.5" customHeight="1">
      <c r="A63" s="50">
        <v>59</v>
      </c>
      <c r="B63" s="16" t="s">
        <v>96</v>
      </c>
      <c r="C63" s="12" t="s">
        <v>263</v>
      </c>
      <c r="D63" s="1" t="s">
        <v>234</v>
      </c>
      <c r="E63" s="2" t="s">
        <v>109</v>
      </c>
      <c r="F63" s="3">
        <v>0</v>
      </c>
      <c r="G63" s="3">
        <v>0</v>
      </c>
      <c r="H63" s="3">
        <v>6072</v>
      </c>
      <c r="I63" s="3">
        <f>3736*0.89111</f>
        <v>3329.18696</v>
      </c>
      <c r="J63" s="3">
        <f t="shared" si="2"/>
        <v>2742.81304</v>
      </c>
      <c r="K63" s="22" t="s">
        <v>18</v>
      </c>
      <c r="L63" s="22" t="s">
        <v>110</v>
      </c>
      <c r="M63" s="51" t="s">
        <v>213</v>
      </c>
    </row>
    <row r="64" spans="1:13" s="52" customFormat="1" ht="108.75" customHeight="1">
      <c r="A64" s="50">
        <v>60</v>
      </c>
      <c r="B64" s="16" t="s">
        <v>96</v>
      </c>
      <c r="C64" s="12" t="s">
        <v>320</v>
      </c>
      <c r="D64" s="12" t="s">
        <v>146</v>
      </c>
      <c r="E64" s="2">
        <f>(F64+G64)/H64</f>
        <v>0.3512076351483272</v>
      </c>
      <c r="F64" s="3">
        <v>30580</v>
      </c>
      <c r="G64" s="3">
        <v>0</v>
      </c>
      <c r="H64" s="3">
        <v>87071</v>
      </c>
      <c r="I64" s="3">
        <v>35973</v>
      </c>
      <c r="J64" s="3">
        <f t="shared" si="2"/>
        <v>51098</v>
      </c>
      <c r="K64" s="22" t="s">
        <v>229</v>
      </c>
      <c r="L64" s="22" t="s">
        <v>110</v>
      </c>
      <c r="M64" s="51" t="s">
        <v>213</v>
      </c>
    </row>
    <row r="65" spans="1:7" ht="15.75">
      <c r="A65" s="5"/>
      <c r="B65" s="5"/>
      <c r="F65" s="9"/>
      <c r="G65" s="9"/>
    </row>
    <row r="66" spans="1:13" s="10" customFormat="1" ht="15.75">
      <c r="A66" s="5"/>
      <c r="B66" s="5"/>
      <c r="C66" s="6"/>
      <c r="D66" s="6"/>
      <c r="E66" s="8"/>
      <c r="F66" s="9"/>
      <c r="G66" s="9"/>
      <c r="K66" s="11"/>
      <c r="L66" s="11"/>
      <c r="M66" s="27"/>
    </row>
    <row r="67" spans="1:13" s="10" customFormat="1" ht="15.75">
      <c r="A67" s="5"/>
      <c r="B67" s="5"/>
      <c r="C67" s="6"/>
      <c r="D67" s="6"/>
      <c r="E67" s="8"/>
      <c r="F67" s="8"/>
      <c r="G67" s="8"/>
      <c r="K67" s="11"/>
      <c r="L67" s="11"/>
      <c r="M67" s="27"/>
    </row>
    <row r="68" spans="1:13" s="10" customFormat="1" ht="15.75">
      <c r="A68" s="5"/>
      <c r="B68" s="5"/>
      <c r="C68" s="6"/>
      <c r="D68" s="6"/>
      <c r="E68" s="8"/>
      <c r="F68" s="8"/>
      <c r="G68" s="8"/>
      <c r="K68" s="11"/>
      <c r="L68" s="11"/>
      <c r="M68" s="27"/>
    </row>
    <row r="69" spans="1:13" s="10" customFormat="1" ht="15.75">
      <c r="A69" s="5"/>
      <c r="B69" s="5"/>
      <c r="C69" s="6"/>
      <c r="D69" s="6"/>
      <c r="E69" s="8"/>
      <c r="F69" s="8"/>
      <c r="G69" s="8"/>
      <c r="K69" s="11"/>
      <c r="L69" s="11"/>
      <c r="M69" s="27"/>
    </row>
    <row r="70" spans="1:13" s="10" customFormat="1" ht="15.75">
      <c r="A70" s="5"/>
      <c r="B70" s="5"/>
      <c r="C70" s="6"/>
      <c r="D70" s="6"/>
      <c r="E70" s="8"/>
      <c r="F70" s="8"/>
      <c r="G70" s="8"/>
      <c r="K70" s="11"/>
      <c r="L70" s="11"/>
      <c r="M70" s="27"/>
    </row>
    <row r="71" spans="1:13" s="10" customFormat="1" ht="15.75">
      <c r="A71" s="5"/>
      <c r="B71" s="5"/>
      <c r="C71" s="6"/>
      <c r="D71" s="6"/>
      <c r="E71" s="8"/>
      <c r="F71" s="8"/>
      <c r="G71" s="8"/>
      <c r="K71" s="11"/>
      <c r="L71" s="11"/>
      <c r="M71" s="27"/>
    </row>
    <row r="72" spans="1:13" s="10" customFormat="1" ht="15.75">
      <c r="A72" s="5"/>
      <c r="B72" s="5"/>
      <c r="C72" s="6"/>
      <c r="D72" s="6"/>
      <c r="E72" s="8"/>
      <c r="F72" s="8"/>
      <c r="G72" s="8"/>
      <c r="K72" s="11"/>
      <c r="L72" s="11"/>
      <c r="M72" s="27"/>
    </row>
    <row r="73" spans="1:13" s="10" customFormat="1" ht="15.75">
      <c r="A73" s="5"/>
      <c r="B73" s="5"/>
      <c r="C73" s="6"/>
      <c r="D73" s="6"/>
      <c r="E73" s="8"/>
      <c r="F73" s="8"/>
      <c r="G73" s="8"/>
      <c r="K73" s="11"/>
      <c r="L73" s="11"/>
      <c r="M73" s="27"/>
    </row>
    <row r="74" spans="1:13" s="10" customFormat="1" ht="15.75">
      <c r="A74" s="5"/>
      <c r="B74" s="5"/>
      <c r="C74" s="6"/>
      <c r="D74" s="6"/>
      <c r="E74" s="8"/>
      <c r="F74" s="8"/>
      <c r="G74" s="8"/>
      <c r="K74" s="11"/>
      <c r="L74" s="11"/>
      <c r="M74" s="27"/>
    </row>
    <row r="75" spans="1:13" s="10" customFormat="1" ht="15.75">
      <c r="A75" s="5"/>
      <c r="B75" s="5"/>
      <c r="C75" s="6"/>
      <c r="D75" s="6"/>
      <c r="E75" s="8"/>
      <c r="F75" s="8"/>
      <c r="G75" s="8"/>
      <c r="K75" s="11"/>
      <c r="L75" s="11"/>
      <c r="M75" s="27"/>
    </row>
    <row r="76" spans="1:13" s="10" customFormat="1" ht="15.75">
      <c r="A76" s="5"/>
      <c r="B76" s="5"/>
      <c r="C76" s="6"/>
      <c r="D76" s="6"/>
      <c r="E76" s="8"/>
      <c r="F76" s="8"/>
      <c r="G76" s="8"/>
      <c r="K76" s="11"/>
      <c r="L76" s="11"/>
      <c r="M76" s="27"/>
    </row>
    <row r="77" spans="1:13" s="10" customFormat="1" ht="15.75">
      <c r="A77" s="5"/>
      <c r="B77" s="5"/>
      <c r="C77" s="6"/>
      <c r="D77" s="6"/>
      <c r="E77" s="8"/>
      <c r="F77" s="8"/>
      <c r="G77" s="8"/>
      <c r="K77" s="11"/>
      <c r="L77" s="11"/>
      <c r="M77" s="27"/>
    </row>
    <row r="78" spans="1:13" s="10" customFormat="1" ht="15.75">
      <c r="A78" s="5"/>
      <c r="B78" s="5"/>
      <c r="C78" s="6"/>
      <c r="D78" s="6"/>
      <c r="E78" s="8"/>
      <c r="F78" s="8"/>
      <c r="G78" s="8"/>
      <c r="K78" s="11"/>
      <c r="L78" s="11"/>
      <c r="M78" s="27"/>
    </row>
    <row r="79" spans="1:13" s="10" customFormat="1" ht="15.75">
      <c r="A79" s="5"/>
      <c r="B79" s="5"/>
      <c r="C79" s="6"/>
      <c r="D79" s="6"/>
      <c r="E79" s="8"/>
      <c r="F79" s="8"/>
      <c r="G79" s="8"/>
      <c r="K79" s="11"/>
      <c r="L79" s="11"/>
      <c r="M79" s="27"/>
    </row>
    <row r="80" spans="1:13" s="10" customFormat="1" ht="15.75">
      <c r="A80" s="5"/>
      <c r="B80" s="5"/>
      <c r="C80" s="6"/>
      <c r="D80" s="6"/>
      <c r="E80" s="8"/>
      <c r="F80" s="8"/>
      <c r="G80" s="8"/>
      <c r="K80" s="11"/>
      <c r="L80" s="11"/>
      <c r="M80" s="27"/>
    </row>
  </sheetData>
  <sheetProtection/>
  <autoFilter ref="B3:L64"/>
  <mergeCells count="10">
    <mergeCell ref="H3:H4"/>
    <mergeCell ref="K3:K4"/>
    <mergeCell ref="L3:L4"/>
    <mergeCell ref="M3:M4"/>
    <mergeCell ref="A3:A4"/>
    <mergeCell ref="B3:B4"/>
    <mergeCell ref="C3:C4"/>
    <mergeCell ref="E3:E4"/>
    <mergeCell ref="F3:F4"/>
    <mergeCell ref="G3:G4"/>
  </mergeCells>
  <printOptions horizontalCentered="1"/>
  <pageMargins left="0.3937007874015748" right="0.2755905511811024" top="0.3937007874015748" bottom="0.3937007874015748" header="0.1968503937007874" footer="0.1968503937007874"/>
  <pageSetup fitToHeight="0" fitToWidth="1" horizontalDpi="600" verticalDpi="600" orientation="landscape" paperSize="8" scale="4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80"/>
  <sheetViews>
    <sheetView showGridLines="0" view="pageBreakPreview" zoomScale="55" zoomScaleNormal="70" zoomScaleSheetLayoutView="55" zoomScalePageLayoutView="0" workbookViewId="0" topLeftCell="A1">
      <pane xSplit="1" ySplit="4" topLeftCell="B5" activePane="bottomRight" state="frozen"/>
      <selection pane="topLeft" activeCell="H25" sqref="H25"/>
      <selection pane="topRight" activeCell="H25" sqref="H25"/>
      <selection pane="bottomLeft" activeCell="H25" sqref="H25"/>
      <selection pane="bottomRight" activeCell="H25" sqref="H25"/>
    </sheetView>
  </sheetViews>
  <sheetFormatPr defaultColWidth="9.00390625" defaultRowHeight="13.5"/>
  <cols>
    <col min="1" max="1" width="5.625" style="7" customWidth="1"/>
    <col min="2" max="2" width="17.50390625" style="7" customWidth="1"/>
    <col min="3" max="3" width="47.00390625" style="6" customWidth="1"/>
    <col min="4" max="4" width="60.25390625" style="6" customWidth="1"/>
    <col min="5" max="7" width="12.50390625" style="8" customWidth="1"/>
    <col min="8" max="8" width="19.375" style="10" bestFit="1" customWidth="1"/>
    <col min="9" max="10" width="12.50390625" style="10" customWidth="1"/>
    <col min="11" max="11" width="63.00390625" style="11" customWidth="1"/>
    <col min="12" max="12" width="60.75390625" style="11" customWidth="1"/>
    <col min="13" max="13" width="22.50390625" style="27" customWidth="1"/>
  </cols>
  <sheetData>
    <row r="1" ht="23.25">
      <c r="A1" s="30" t="s">
        <v>267</v>
      </c>
    </row>
    <row r="2" spans="1:13" ht="51" customHeight="1">
      <c r="A2" s="15"/>
      <c r="B2" s="15"/>
      <c r="C2" s="15"/>
      <c r="D2" s="15"/>
      <c r="E2" s="15"/>
      <c r="F2" s="15"/>
      <c r="G2" s="15"/>
      <c r="H2" s="15"/>
      <c r="I2" s="13"/>
      <c r="J2" s="13"/>
      <c r="K2" s="14"/>
      <c r="L2" s="14"/>
      <c r="M2" s="26"/>
    </row>
    <row r="3" spans="1:13" ht="42.75" customHeight="1">
      <c r="A3" s="72"/>
      <c r="B3" s="73" t="s">
        <v>103</v>
      </c>
      <c r="C3" s="73" t="s">
        <v>73</v>
      </c>
      <c r="D3" s="19"/>
      <c r="E3" s="76" t="s">
        <v>268</v>
      </c>
      <c r="F3" s="78" t="s">
        <v>106</v>
      </c>
      <c r="G3" s="78" t="s">
        <v>105</v>
      </c>
      <c r="H3" s="67" t="s">
        <v>104</v>
      </c>
      <c r="I3" s="28" t="s">
        <v>16</v>
      </c>
      <c r="J3" s="29"/>
      <c r="K3" s="69" t="s">
        <v>17</v>
      </c>
      <c r="L3" s="70" t="s">
        <v>38</v>
      </c>
      <c r="M3" s="78" t="s">
        <v>90</v>
      </c>
    </row>
    <row r="4" spans="1:13" ht="34.5" customHeight="1">
      <c r="A4" s="72"/>
      <c r="B4" s="73"/>
      <c r="C4" s="73"/>
      <c r="D4" s="20" t="s">
        <v>36</v>
      </c>
      <c r="E4" s="77"/>
      <c r="F4" s="69"/>
      <c r="G4" s="69"/>
      <c r="H4" s="68"/>
      <c r="I4" s="21" t="s">
        <v>14</v>
      </c>
      <c r="J4" s="21" t="s">
        <v>15</v>
      </c>
      <c r="K4" s="69"/>
      <c r="L4" s="71"/>
      <c r="M4" s="78"/>
    </row>
    <row r="5" spans="1:13" s="52" customFormat="1" ht="90" customHeight="1">
      <c r="A5" s="50">
        <v>1</v>
      </c>
      <c r="B5" s="16" t="s">
        <v>102</v>
      </c>
      <c r="C5" s="12" t="s">
        <v>80</v>
      </c>
      <c r="D5" s="1" t="s">
        <v>233</v>
      </c>
      <c r="E5" s="2">
        <f>(F5+G5)/H5</f>
        <v>0.238731897814178</v>
      </c>
      <c r="F5" s="3">
        <v>6235</v>
      </c>
      <c r="G5" s="3">
        <v>2568</v>
      </c>
      <c r="H5" s="3">
        <v>36874</v>
      </c>
      <c r="I5" s="3">
        <f>21758+2569</f>
        <v>24327</v>
      </c>
      <c r="J5" s="3">
        <f aca="true" t="shared" si="0" ref="J5:J64">H5-I5</f>
        <v>12547</v>
      </c>
      <c r="K5" s="22" t="s">
        <v>34</v>
      </c>
      <c r="L5" s="22" t="s">
        <v>52</v>
      </c>
      <c r="M5" s="51" t="s">
        <v>213</v>
      </c>
    </row>
    <row r="6" spans="1:13" s="52" customFormat="1" ht="117" customHeight="1">
      <c r="A6" s="50">
        <v>2</v>
      </c>
      <c r="B6" s="16" t="s">
        <v>102</v>
      </c>
      <c r="C6" s="12" t="s">
        <v>81</v>
      </c>
      <c r="D6" s="1" t="s">
        <v>269</v>
      </c>
      <c r="E6" s="2">
        <f>(F6+G6)/H6</f>
        <v>0.35967342991575385</v>
      </c>
      <c r="F6" s="4">
        <v>37587</v>
      </c>
      <c r="G6" s="4">
        <v>1093</v>
      </c>
      <c r="H6" s="4">
        <v>107542</v>
      </c>
      <c r="I6" s="4">
        <v>44695</v>
      </c>
      <c r="J6" s="4">
        <f t="shared" si="0"/>
        <v>62847</v>
      </c>
      <c r="K6" s="22" t="s">
        <v>60</v>
      </c>
      <c r="L6" s="22" t="s">
        <v>270</v>
      </c>
      <c r="M6" s="51" t="s">
        <v>213</v>
      </c>
    </row>
    <row r="7" spans="1:13" s="52" customFormat="1" ht="95.25" customHeight="1">
      <c r="A7" s="50">
        <v>3</v>
      </c>
      <c r="B7" s="16" t="s">
        <v>100</v>
      </c>
      <c r="C7" s="12" t="s">
        <v>271</v>
      </c>
      <c r="D7" s="1" t="s">
        <v>269</v>
      </c>
      <c r="E7" s="2">
        <f>(F7+G7)/H7</f>
        <v>0.2255148450521201</v>
      </c>
      <c r="F7" s="4">
        <v>6747</v>
      </c>
      <c r="G7" s="4">
        <v>1236</v>
      </c>
      <c r="H7" s="4">
        <f>36003-604</f>
        <v>35399</v>
      </c>
      <c r="I7" s="4">
        <f>14091-604</f>
        <v>13487</v>
      </c>
      <c r="J7" s="4">
        <f t="shared" si="0"/>
        <v>21912</v>
      </c>
      <c r="K7" s="22" t="s">
        <v>33</v>
      </c>
      <c r="L7" s="22" t="s">
        <v>272</v>
      </c>
      <c r="M7" s="51" t="s">
        <v>213</v>
      </c>
    </row>
    <row r="8" spans="1:13" s="52" customFormat="1" ht="163.5" customHeight="1">
      <c r="A8" s="50">
        <v>4</v>
      </c>
      <c r="B8" s="16" t="s">
        <v>100</v>
      </c>
      <c r="C8" s="12" t="s">
        <v>75</v>
      </c>
      <c r="D8" s="1" t="s">
        <v>269</v>
      </c>
      <c r="E8" s="2">
        <f>(F8+G8)/H8</f>
        <v>0.7459486216032265</v>
      </c>
      <c r="F8" s="4">
        <v>129014</v>
      </c>
      <c r="G8" s="4">
        <v>3600</v>
      </c>
      <c r="H8" s="55">
        <f>180339-2560</f>
        <v>177779</v>
      </c>
      <c r="I8" s="55">
        <f>59303-2560</f>
        <v>56743</v>
      </c>
      <c r="J8" s="55">
        <f t="shared" si="0"/>
        <v>121036</v>
      </c>
      <c r="K8" s="23" t="s">
        <v>201</v>
      </c>
      <c r="L8" s="23" t="s">
        <v>150</v>
      </c>
      <c r="M8" s="51" t="s">
        <v>213</v>
      </c>
    </row>
    <row r="9" spans="1:13" s="52" customFormat="1" ht="95.25" customHeight="1">
      <c r="A9" s="50">
        <v>5</v>
      </c>
      <c r="B9" s="16" t="s">
        <v>100</v>
      </c>
      <c r="C9" s="12" t="s">
        <v>273</v>
      </c>
      <c r="D9" s="1" t="s">
        <v>234</v>
      </c>
      <c r="E9" s="56" t="s">
        <v>274</v>
      </c>
      <c r="F9" s="3">
        <v>0</v>
      </c>
      <c r="G9" s="3">
        <v>0</v>
      </c>
      <c r="H9" s="3">
        <v>7145</v>
      </c>
      <c r="I9" s="3">
        <v>4059</v>
      </c>
      <c r="J9" s="3">
        <f t="shared" si="0"/>
        <v>3086</v>
      </c>
      <c r="K9" s="24" t="s">
        <v>18</v>
      </c>
      <c r="L9" s="24" t="s">
        <v>275</v>
      </c>
      <c r="M9" s="51" t="s">
        <v>213</v>
      </c>
    </row>
    <row r="10" spans="1:13" s="52" customFormat="1" ht="106.5" customHeight="1">
      <c r="A10" s="50">
        <v>6</v>
      </c>
      <c r="B10" s="16" t="s">
        <v>102</v>
      </c>
      <c r="C10" s="1" t="s">
        <v>276</v>
      </c>
      <c r="D10" s="12" t="s">
        <v>277</v>
      </c>
      <c r="E10" s="2">
        <f>(F10+G10)/H10</f>
        <v>0.28208007601606705</v>
      </c>
      <c r="F10" s="3">
        <v>12416</v>
      </c>
      <c r="G10" s="3">
        <v>646</v>
      </c>
      <c r="H10" s="3">
        <v>46306</v>
      </c>
      <c r="I10" s="3">
        <f>10075+3767</f>
        <v>13842</v>
      </c>
      <c r="J10" s="3">
        <f t="shared" si="0"/>
        <v>32464</v>
      </c>
      <c r="K10" s="22" t="s">
        <v>86</v>
      </c>
      <c r="L10" s="22" t="s">
        <v>205</v>
      </c>
      <c r="M10" s="51" t="s">
        <v>213</v>
      </c>
    </row>
    <row r="11" spans="1:13" s="52" customFormat="1" ht="132" customHeight="1">
      <c r="A11" s="50">
        <v>7</v>
      </c>
      <c r="B11" s="16" t="s">
        <v>102</v>
      </c>
      <c r="C11" s="12" t="s">
        <v>191</v>
      </c>
      <c r="D11" s="1" t="s">
        <v>234</v>
      </c>
      <c r="E11" s="2">
        <f>(F11+G11)/30021</f>
        <v>0.12674461210485993</v>
      </c>
      <c r="F11" s="3">
        <v>3540</v>
      </c>
      <c r="G11" s="3">
        <v>265</v>
      </c>
      <c r="H11" s="3">
        <v>39440</v>
      </c>
      <c r="I11" s="3">
        <v>26860</v>
      </c>
      <c r="J11" s="3">
        <f t="shared" si="0"/>
        <v>12580</v>
      </c>
      <c r="K11" s="22" t="s">
        <v>134</v>
      </c>
      <c r="L11" s="22" t="s">
        <v>51</v>
      </c>
      <c r="M11" s="51" t="s">
        <v>213</v>
      </c>
    </row>
    <row r="12" spans="1:13" s="52" customFormat="1" ht="96.75" customHeight="1">
      <c r="A12" s="50">
        <v>8</v>
      </c>
      <c r="B12" s="16" t="s">
        <v>102</v>
      </c>
      <c r="C12" s="12" t="s">
        <v>278</v>
      </c>
      <c r="D12" s="1" t="s">
        <v>234</v>
      </c>
      <c r="E12" s="2" t="s">
        <v>109</v>
      </c>
      <c r="F12" s="3">
        <v>0</v>
      </c>
      <c r="G12" s="3">
        <v>0</v>
      </c>
      <c r="H12" s="3">
        <v>19906</v>
      </c>
      <c r="I12" s="3">
        <v>11635</v>
      </c>
      <c r="J12" s="3">
        <f t="shared" si="0"/>
        <v>8271</v>
      </c>
      <c r="K12" s="24" t="s">
        <v>18</v>
      </c>
      <c r="L12" s="24" t="s">
        <v>110</v>
      </c>
      <c r="M12" s="51" t="s">
        <v>213</v>
      </c>
    </row>
    <row r="13" spans="1:13" s="52" customFormat="1" ht="101.25" customHeight="1">
      <c r="A13" s="50">
        <v>9</v>
      </c>
      <c r="B13" s="16" t="s">
        <v>102</v>
      </c>
      <c r="C13" s="12" t="s">
        <v>133</v>
      </c>
      <c r="D13" s="1" t="s">
        <v>234</v>
      </c>
      <c r="E13" s="2" t="s">
        <v>109</v>
      </c>
      <c r="F13" s="3">
        <v>0</v>
      </c>
      <c r="G13" s="3">
        <v>0</v>
      </c>
      <c r="H13" s="3">
        <v>7984</v>
      </c>
      <c r="I13" s="3">
        <v>3563</v>
      </c>
      <c r="J13" s="3">
        <f t="shared" si="0"/>
        <v>4421</v>
      </c>
      <c r="K13" s="24" t="s">
        <v>18</v>
      </c>
      <c r="L13" s="24" t="s">
        <v>110</v>
      </c>
      <c r="M13" s="51" t="s">
        <v>213</v>
      </c>
    </row>
    <row r="14" spans="1:13" s="52" customFormat="1" ht="127.5" customHeight="1">
      <c r="A14" s="50">
        <v>10</v>
      </c>
      <c r="B14" s="16" t="s">
        <v>102</v>
      </c>
      <c r="C14" s="12" t="s">
        <v>82</v>
      </c>
      <c r="D14" s="1" t="s">
        <v>126</v>
      </c>
      <c r="E14" s="2">
        <f aca="true" t="shared" si="1" ref="E14:E34">(F14+G14)/H14</f>
        <v>0.5191408832850726</v>
      </c>
      <c r="F14" s="4">
        <v>378054</v>
      </c>
      <c r="G14" s="4">
        <v>31788</v>
      </c>
      <c r="H14" s="4">
        <v>789462</v>
      </c>
      <c r="I14" s="4">
        <v>245366</v>
      </c>
      <c r="J14" s="4">
        <f t="shared" si="0"/>
        <v>544096</v>
      </c>
      <c r="K14" s="22" t="s">
        <v>59</v>
      </c>
      <c r="L14" s="22" t="s">
        <v>48</v>
      </c>
      <c r="M14" s="51" t="s">
        <v>213</v>
      </c>
    </row>
    <row r="15" spans="1:13" s="52" customFormat="1" ht="99.75" customHeight="1">
      <c r="A15" s="50">
        <v>11</v>
      </c>
      <c r="B15" s="16" t="s">
        <v>102</v>
      </c>
      <c r="C15" s="12" t="s">
        <v>279</v>
      </c>
      <c r="D15" s="12" t="s">
        <v>280</v>
      </c>
      <c r="E15" s="2">
        <f t="shared" si="1"/>
        <v>0.9452872798814027</v>
      </c>
      <c r="F15" s="4">
        <v>51778</v>
      </c>
      <c r="G15" s="4">
        <v>16450</v>
      </c>
      <c r="H15" s="4">
        <v>72177</v>
      </c>
      <c r="I15" s="4">
        <v>2833</v>
      </c>
      <c r="J15" s="4">
        <f t="shared" si="0"/>
        <v>69344</v>
      </c>
      <c r="K15" s="25" t="s">
        <v>22</v>
      </c>
      <c r="L15" s="23" t="s">
        <v>49</v>
      </c>
      <c r="M15" s="51" t="s">
        <v>213</v>
      </c>
    </row>
    <row r="16" spans="1:13" s="52" customFormat="1" ht="108.75" customHeight="1">
      <c r="A16" s="50">
        <v>12</v>
      </c>
      <c r="B16" s="16" t="s">
        <v>102</v>
      </c>
      <c r="C16" s="1" t="s">
        <v>281</v>
      </c>
      <c r="D16" s="12" t="s">
        <v>235</v>
      </c>
      <c r="E16" s="2">
        <f t="shared" si="1"/>
        <v>0.5070095772787319</v>
      </c>
      <c r="F16" s="3">
        <v>122060</v>
      </c>
      <c r="G16" s="3">
        <v>758</v>
      </c>
      <c r="H16" s="3">
        <v>242240</v>
      </c>
      <c r="I16" s="3">
        <f>40717+3241</f>
        <v>43958</v>
      </c>
      <c r="J16" s="3">
        <f t="shared" si="0"/>
        <v>198282</v>
      </c>
      <c r="K16" s="22" t="s">
        <v>149</v>
      </c>
      <c r="L16" s="22" t="s">
        <v>50</v>
      </c>
      <c r="M16" s="51" t="s">
        <v>213</v>
      </c>
    </row>
    <row r="17" spans="1:13" s="52" customFormat="1" ht="133.5" customHeight="1">
      <c r="A17" s="50">
        <v>13</v>
      </c>
      <c r="B17" s="16" t="s">
        <v>94</v>
      </c>
      <c r="C17" s="12" t="s">
        <v>79</v>
      </c>
      <c r="D17" s="1" t="s">
        <v>136</v>
      </c>
      <c r="E17" s="2">
        <f t="shared" si="1"/>
        <v>0.1753778217671019</v>
      </c>
      <c r="F17" s="3">
        <v>21229</v>
      </c>
      <c r="G17" s="3">
        <v>1806</v>
      </c>
      <c r="H17" s="3">
        <f>138738-1119-6273-1</f>
        <v>131345</v>
      </c>
      <c r="I17" s="3">
        <f>63850-1119-6273</f>
        <v>56458</v>
      </c>
      <c r="J17" s="3">
        <f t="shared" si="0"/>
        <v>74887</v>
      </c>
      <c r="K17" s="22" t="s">
        <v>282</v>
      </c>
      <c r="L17" s="22" t="s">
        <v>204</v>
      </c>
      <c r="M17" s="51" t="s">
        <v>213</v>
      </c>
    </row>
    <row r="18" spans="1:13" s="52" customFormat="1" ht="135.75" customHeight="1">
      <c r="A18" s="50">
        <v>14</v>
      </c>
      <c r="B18" s="16" t="s">
        <v>94</v>
      </c>
      <c r="C18" s="12" t="s">
        <v>192</v>
      </c>
      <c r="D18" s="1" t="s">
        <v>236</v>
      </c>
      <c r="E18" s="2">
        <f t="shared" si="1"/>
        <v>0.17552599635848676</v>
      </c>
      <c r="F18" s="3">
        <v>6790</v>
      </c>
      <c r="G18" s="3">
        <v>151</v>
      </c>
      <c r="H18" s="3">
        <v>39544</v>
      </c>
      <c r="I18" s="53">
        <v>22725</v>
      </c>
      <c r="J18" s="53">
        <f t="shared" si="0"/>
        <v>16819</v>
      </c>
      <c r="K18" s="22" t="s">
        <v>57</v>
      </c>
      <c r="L18" s="22" t="s">
        <v>283</v>
      </c>
      <c r="M18" s="51" t="s">
        <v>213</v>
      </c>
    </row>
    <row r="19" spans="1:13" s="52" customFormat="1" ht="114" customHeight="1">
      <c r="A19" s="50">
        <v>15</v>
      </c>
      <c r="B19" s="16" t="s">
        <v>94</v>
      </c>
      <c r="C19" s="12" t="s">
        <v>193</v>
      </c>
      <c r="D19" s="1" t="s">
        <v>237</v>
      </c>
      <c r="E19" s="2">
        <f t="shared" si="1"/>
        <v>0.30818503624148147</v>
      </c>
      <c r="F19" s="3">
        <v>12358</v>
      </c>
      <c r="G19" s="3">
        <v>440</v>
      </c>
      <c r="H19" s="3">
        <v>41527</v>
      </c>
      <c r="I19" s="53">
        <v>23862</v>
      </c>
      <c r="J19" s="53">
        <f t="shared" si="0"/>
        <v>17665</v>
      </c>
      <c r="K19" s="22" t="s">
        <v>58</v>
      </c>
      <c r="L19" s="22" t="s">
        <v>283</v>
      </c>
      <c r="M19" s="51" t="s">
        <v>213</v>
      </c>
    </row>
    <row r="20" spans="1:13" s="52" customFormat="1" ht="96" customHeight="1">
      <c r="A20" s="50">
        <v>16</v>
      </c>
      <c r="B20" s="16" t="s">
        <v>94</v>
      </c>
      <c r="C20" s="12" t="s">
        <v>284</v>
      </c>
      <c r="D20" s="1" t="s">
        <v>43</v>
      </c>
      <c r="E20" s="2">
        <f t="shared" si="1"/>
        <v>0.20571481073134876</v>
      </c>
      <c r="F20" s="3">
        <v>4478</v>
      </c>
      <c r="G20" s="3">
        <v>0</v>
      </c>
      <c r="H20" s="3">
        <v>21768</v>
      </c>
      <c r="I20" s="3">
        <v>11718</v>
      </c>
      <c r="J20" s="3">
        <f t="shared" si="0"/>
        <v>10050</v>
      </c>
      <c r="K20" s="22" t="s">
        <v>23</v>
      </c>
      <c r="L20" s="22" t="s">
        <v>285</v>
      </c>
      <c r="M20" s="51" t="s">
        <v>213</v>
      </c>
    </row>
    <row r="21" spans="1:13" s="52" customFormat="1" ht="108" customHeight="1">
      <c r="A21" s="50">
        <v>17</v>
      </c>
      <c r="B21" s="16" t="s">
        <v>94</v>
      </c>
      <c r="C21" s="12" t="s">
        <v>195</v>
      </c>
      <c r="D21" s="12" t="s">
        <v>286</v>
      </c>
      <c r="E21" s="2">
        <f t="shared" si="1"/>
        <v>0.12575206407315584</v>
      </c>
      <c r="F21" s="3">
        <v>12606</v>
      </c>
      <c r="G21" s="3">
        <v>3676</v>
      </c>
      <c r="H21" s="3">
        <v>129477</v>
      </c>
      <c r="I21" s="3">
        <f>63737-2758</f>
        <v>60979</v>
      </c>
      <c r="J21" s="3">
        <f t="shared" si="0"/>
        <v>68498</v>
      </c>
      <c r="K21" s="22" t="s">
        <v>68</v>
      </c>
      <c r="L21" s="22" t="s">
        <v>287</v>
      </c>
      <c r="M21" s="51" t="s">
        <v>213</v>
      </c>
    </row>
    <row r="22" spans="1:13" s="52" customFormat="1" ht="143.25" customHeight="1">
      <c r="A22" s="50">
        <v>18</v>
      </c>
      <c r="B22" s="16" t="s">
        <v>94</v>
      </c>
      <c r="C22" s="12" t="s">
        <v>288</v>
      </c>
      <c r="D22" s="12" t="s">
        <v>289</v>
      </c>
      <c r="E22" s="2">
        <f t="shared" si="1"/>
        <v>0.1992429733429975</v>
      </c>
      <c r="F22" s="57">
        <v>14284</v>
      </c>
      <c r="G22" s="57">
        <v>12930</v>
      </c>
      <c r="H22" s="57">
        <f>208206-70022-1597</f>
        <v>136587</v>
      </c>
      <c r="I22" s="58">
        <f>70148-1597</f>
        <v>68551</v>
      </c>
      <c r="J22" s="58">
        <f t="shared" si="0"/>
        <v>68036</v>
      </c>
      <c r="K22" s="59" t="s">
        <v>63</v>
      </c>
      <c r="L22" s="22" t="s">
        <v>283</v>
      </c>
      <c r="M22" s="51" t="s">
        <v>213</v>
      </c>
    </row>
    <row r="23" spans="1:13" s="52" customFormat="1" ht="141.75" customHeight="1">
      <c r="A23" s="50">
        <v>19</v>
      </c>
      <c r="B23" s="16" t="s">
        <v>94</v>
      </c>
      <c r="C23" s="12" t="s">
        <v>290</v>
      </c>
      <c r="D23" s="12" t="s">
        <v>291</v>
      </c>
      <c r="E23" s="2">
        <f t="shared" si="1"/>
        <v>0.20930019680534578</v>
      </c>
      <c r="F23" s="3">
        <v>4442</v>
      </c>
      <c r="G23" s="3">
        <v>131</v>
      </c>
      <c r="H23" s="3">
        <f>29875-8026</f>
        <v>21849</v>
      </c>
      <c r="I23" s="3">
        <v>10993</v>
      </c>
      <c r="J23" s="3">
        <f t="shared" si="0"/>
        <v>10856</v>
      </c>
      <c r="K23" s="22" t="s">
        <v>64</v>
      </c>
      <c r="L23" s="22" t="s">
        <v>118</v>
      </c>
      <c r="M23" s="51" t="s">
        <v>213</v>
      </c>
    </row>
    <row r="24" spans="1:13" s="52" customFormat="1" ht="142.5" customHeight="1">
      <c r="A24" s="50">
        <v>20</v>
      </c>
      <c r="B24" s="16" t="s">
        <v>94</v>
      </c>
      <c r="C24" s="12" t="s">
        <v>198</v>
      </c>
      <c r="D24" s="1" t="s">
        <v>135</v>
      </c>
      <c r="E24" s="2">
        <f t="shared" si="1"/>
        <v>0.09147381735846338</v>
      </c>
      <c r="F24" s="3">
        <v>18603</v>
      </c>
      <c r="G24" s="3">
        <v>1718</v>
      </c>
      <c r="H24" s="3">
        <v>222151</v>
      </c>
      <c r="I24" s="3">
        <f>90115-3677</f>
        <v>86438</v>
      </c>
      <c r="J24" s="3">
        <f t="shared" si="0"/>
        <v>135713</v>
      </c>
      <c r="K24" s="22" t="s">
        <v>55</v>
      </c>
      <c r="L24" s="22" t="s">
        <v>46</v>
      </c>
      <c r="M24" s="51" t="s">
        <v>213</v>
      </c>
    </row>
    <row r="25" spans="1:13" s="52" customFormat="1" ht="151.5" customHeight="1">
      <c r="A25" s="50">
        <v>21</v>
      </c>
      <c r="B25" s="16" t="s">
        <v>94</v>
      </c>
      <c r="C25" s="12" t="s">
        <v>199</v>
      </c>
      <c r="D25" s="1" t="s">
        <v>138</v>
      </c>
      <c r="E25" s="2">
        <f t="shared" si="1"/>
        <v>0.4242915880572385</v>
      </c>
      <c r="F25" s="3">
        <v>75048</v>
      </c>
      <c r="G25" s="3">
        <v>16484</v>
      </c>
      <c r="H25" s="3">
        <v>215729</v>
      </c>
      <c r="I25" s="3">
        <v>40731</v>
      </c>
      <c r="J25" s="3">
        <f t="shared" si="0"/>
        <v>174998</v>
      </c>
      <c r="K25" s="22" t="s">
        <v>24</v>
      </c>
      <c r="L25" s="22" t="s">
        <v>47</v>
      </c>
      <c r="M25" s="51" t="s">
        <v>213</v>
      </c>
    </row>
    <row r="26" spans="1:13" s="52" customFormat="1" ht="154.5" customHeight="1">
      <c r="A26" s="50">
        <v>22</v>
      </c>
      <c r="B26" s="16" t="s">
        <v>94</v>
      </c>
      <c r="C26" s="12" t="s">
        <v>200</v>
      </c>
      <c r="D26" s="1" t="s">
        <v>40</v>
      </c>
      <c r="E26" s="2">
        <f t="shared" si="1"/>
        <v>0.5353803090010634</v>
      </c>
      <c r="F26" s="3">
        <v>214045</v>
      </c>
      <c r="G26" s="3">
        <v>128320</v>
      </c>
      <c r="H26" s="3">
        <v>639480</v>
      </c>
      <c r="I26" s="3">
        <f>139361-5908</f>
        <v>133453</v>
      </c>
      <c r="J26" s="3">
        <f t="shared" si="0"/>
        <v>506027</v>
      </c>
      <c r="K26" s="22" t="s">
        <v>56</v>
      </c>
      <c r="L26" s="22" t="s">
        <v>41</v>
      </c>
      <c r="M26" s="51" t="s">
        <v>213</v>
      </c>
    </row>
    <row r="27" spans="1:13" s="52" customFormat="1" ht="100.5" customHeight="1">
      <c r="A27" s="50">
        <v>23</v>
      </c>
      <c r="B27" s="16" t="s">
        <v>101</v>
      </c>
      <c r="C27" s="1" t="s">
        <v>76</v>
      </c>
      <c r="D27" s="12" t="s">
        <v>292</v>
      </c>
      <c r="E27" s="2">
        <f t="shared" si="1"/>
        <v>0.376420189979512</v>
      </c>
      <c r="F27" s="3">
        <v>1579</v>
      </c>
      <c r="G27" s="3">
        <v>442</v>
      </c>
      <c r="H27" s="3">
        <f>5458-89</f>
        <v>5369</v>
      </c>
      <c r="I27" s="3">
        <v>0</v>
      </c>
      <c r="J27" s="3">
        <f t="shared" si="0"/>
        <v>5369</v>
      </c>
      <c r="K27" s="22" t="s">
        <v>65</v>
      </c>
      <c r="L27" s="22" t="s">
        <v>214</v>
      </c>
      <c r="M27" s="51" t="s">
        <v>213</v>
      </c>
    </row>
    <row r="28" spans="1:13" s="52" customFormat="1" ht="97.5" customHeight="1">
      <c r="A28" s="50">
        <v>24</v>
      </c>
      <c r="B28" s="16" t="s">
        <v>101</v>
      </c>
      <c r="C28" s="1" t="s">
        <v>77</v>
      </c>
      <c r="D28" s="12" t="s">
        <v>130</v>
      </c>
      <c r="E28" s="2">
        <f t="shared" si="1"/>
        <v>0.3943713958962381</v>
      </c>
      <c r="F28" s="3">
        <v>63539</v>
      </c>
      <c r="G28" s="3">
        <v>1636</v>
      </c>
      <c r="H28" s="3">
        <f>165263</f>
        <v>165263</v>
      </c>
      <c r="I28" s="3">
        <v>53376</v>
      </c>
      <c r="J28" s="3">
        <f t="shared" si="0"/>
        <v>111887</v>
      </c>
      <c r="K28" s="22" t="s">
        <v>131</v>
      </c>
      <c r="L28" s="22" t="s">
        <v>215</v>
      </c>
      <c r="M28" s="51" t="s">
        <v>213</v>
      </c>
    </row>
    <row r="29" spans="1:13" s="52" customFormat="1" ht="153" customHeight="1">
      <c r="A29" s="50">
        <v>25</v>
      </c>
      <c r="B29" s="16" t="s">
        <v>97</v>
      </c>
      <c r="C29" s="1" t="s">
        <v>3</v>
      </c>
      <c r="D29" s="1" t="s">
        <v>122</v>
      </c>
      <c r="E29" s="2">
        <f t="shared" si="1"/>
        <v>0.08533068595471091</v>
      </c>
      <c r="F29" s="3">
        <v>2161</v>
      </c>
      <c r="G29" s="3">
        <v>1449</v>
      </c>
      <c r="H29" s="3">
        <f>42305+1</f>
        <v>42306</v>
      </c>
      <c r="I29" s="3">
        <f>25676-584+1</f>
        <v>25093</v>
      </c>
      <c r="J29" s="3">
        <f t="shared" si="0"/>
        <v>17213</v>
      </c>
      <c r="K29" s="22" t="s">
        <v>216</v>
      </c>
      <c r="L29" s="22" t="s">
        <v>217</v>
      </c>
      <c r="M29" s="51" t="s">
        <v>213</v>
      </c>
    </row>
    <row r="30" spans="1:13" s="52" customFormat="1" ht="127.5" customHeight="1">
      <c r="A30" s="50">
        <v>26</v>
      </c>
      <c r="B30" s="16" t="s">
        <v>97</v>
      </c>
      <c r="C30" s="1" t="s">
        <v>293</v>
      </c>
      <c r="D30" s="1" t="s">
        <v>123</v>
      </c>
      <c r="E30" s="2">
        <f t="shared" si="1"/>
        <v>0.1512701100762066</v>
      </c>
      <c r="F30" s="3">
        <v>4057</v>
      </c>
      <c r="G30" s="3">
        <v>6662</v>
      </c>
      <c r="H30" s="3">
        <v>70860</v>
      </c>
      <c r="I30" s="3">
        <f>27815-381</f>
        <v>27434</v>
      </c>
      <c r="J30" s="3">
        <f t="shared" si="0"/>
        <v>43426</v>
      </c>
      <c r="K30" s="22" t="s">
        <v>218</v>
      </c>
      <c r="L30" s="22" t="s">
        <v>219</v>
      </c>
      <c r="M30" s="51" t="s">
        <v>213</v>
      </c>
    </row>
    <row r="31" spans="1:13" s="52" customFormat="1" ht="210.75" customHeight="1">
      <c r="A31" s="50">
        <v>27</v>
      </c>
      <c r="B31" s="16" t="s">
        <v>97</v>
      </c>
      <c r="C31" s="1" t="s">
        <v>4</v>
      </c>
      <c r="D31" s="1" t="s">
        <v>123</v>
      </c>
      <c r="E31" s="2">
        <f t="shared" si="1"/>
        <v>0.38663058369079434</v>
      </c>
      <c r="F31" s="3">
        <v>5629</v>
      </c>
      <c r="G31" s="3">
        <v>28802</v>
      </c>
      <c r="H31" s="3">
        <v>89054</v>
      </c>
      <c r="I31" s="3">
        <f>27360-316</f>
        <v>27044</v>
      </c>
      <c r="J31" s="3">
        <f t="shared" si="0"/>
        <v>62010</v>
      </c>
      <c r="K31" s="22" t="s">
        <v>107</v>
      </c>
      <c r="L31" s="22" t="s">
        <v>220</v>
      </c>
      <c r="M31" s="51" t="s">
        <v>213</v>
      </c>
    </row>
    <row r="32" spans="1:13" s="52" customFormat="1" ht="132.75" customHeight="1">
      <c r="A32" s="50">
        <v>28</v>
      </c>
      <c r="B32" s="16" t="s">
        <v>97</v>
      </c>
      <c r="C32" s="1" t="s">
        <v>5</v>
      </c>
      <c r="D32" s="1" t="s">
        <v>230</v>
      </c>
      <c r="E32" s="2">
        <f t="shared" si="1"/>
        <v>0.10412863136991128</v>
      </c>
      <c r="F32" s="3">
        <v>3251</v>
      </c>
      <c r="G32" s="3">
        <v>0</v>
      </c>
      <c r="H32" s="3">
        <v>31221</v>
      </c>
      <c r="I32" s="3">
        <v>19507</v>
      </c>
      <c r="J32" s="3">
        <f t="shared" si="0"/>
        <v>11714</v>
      </c>
      <c r="K32" s="22" t="s">
        <v>221</v>
      </c>
      <c r="L32" s="22" t="s">
        <v>110</v>
      </c>
      <c r="M32" s="51" t="s">
        <v>213</v>
      </c>
    </row>
    <row r="33" spans="1:13" s="52" customFormat="1" ht="131.25" customHeight="1">
      <c r="A33" s="50">
        <v>29</v>
      </c>
      <c r="B33" s="16" t="s">
        <v>97</v>
      </c>
      <c r="C33" s="12" t="s">
        <v>6</v>
      </c>
      <c r="D33" s="1" t="s">
        <v>222</v>
      </c>
      <c r="E33" s="2">
        <f t="shared" si="1"/>
        <v>0.3051110329984768</v>
      </c>
      <c r="F33" s="3">
        <v>91276</v>
      </c>
      <c r="G33" s="3">
        <v>7677</v>
      </c>
      <c r="H33" s="3">
        <v>324318</v>
      </c>
      <c r="I33" s="3">
        <v>118491</v>
      </c>
      <c r="J33" s="3">
        <f t="shared" si="0"/>
        <v>205827</v>
      </c>
      <c r="K33" s="22" t="s">
        <v>25</v>
      </c>
      <c r="L33" s="22" t="s">
        <v>39</v>
      </c>
      <c r="M33" s="51" t="s">
        <v>213</v>
      </c>
    </row>
    <row r="34" spans="1:13" s="52" customFormat="1" ht="104.25" customHeight="1">
      <c r="A34" s="50">
        <v>30</v>
      </c>
      <c r="B34" s="16" t="s">
        <v>93</v>
      </c>
      <c r="C34" s="12" t="s">
        <v>85</v>
      </c>
      <c r="D34" s="1" t="s">
        <v>111</v>
      </c>
      <c r="E34" s="60">
        <f t="shared" si="1"/>
        <v>0.0012700204614407677</v>
      </c>
      <c r="F34" s="3">
        <v>18</v>
      </c>
      <c r="G34" s="3">
        <v>0</v>
      </c>
      <c r="H34" s="3">
        <v>14173</v>
      </c>
      <c r="I34" s="3">
        <v>9040</v>
      </c>
      <c r="J34" s="3">
        <f t="shared" si="0"/>
        <v>5133</v>
      </c>
      <c r="K34" s="22" t="s">
        <v>19</v>
      </c>
      <c r="L34" s="22" t="s">
        <v>110</v>
      </c>
      <c r="M34" s="51" t="s">
        <v>213</v>
      </c>
    </row>
    <row r="35" spans="1:13" s="52" customFormat="1" ht="90" customHeight="1">
      <c r="A35" s="50">
        <v>31</v>
      </c>
      <c r="B35" s="16" t="s">
        <v>93</v>
      </c>
      <c r="C35" s="12" t="s">
        <v>72</v>
      </c>
      <c r="D35" s="1" t="s">
        <v>42</v>
      </c>
      <c r="E35" s="2" t="s">
        <v>109</v>
      </c>
      <c r="F35" s="3">
        <v>0</v>
      </c>
      <c r="G35" s="3">
        <v>0</v>
      </c>
      <c r="H35" s="3">
        <v>62488</v>
      </c>
      <c r="I35" s="3">
        <v>40413</v>
      </c>
      <c r="J35" s="3">
        <f t="shared" si="0"/>
        <v>22075</v>
      </c>
      <c r="K35" s="24" t="s">
        <v>18</v>
      </c>
      <c r="L35" s="24" t="s">
        <v>110</v>
      </c>
      <c r="M35" s="51" t="s">
        <v>213</v>
      </c>
    </row>
    <row r="36" spans="1:13" s="52" customFormat="1" ht="148.5" customHeight="1">
      <c r="A36" s="50">
        <v>32</v>
      </c>
      <c r="B36" s="16" t="s">
        <v>93</v>
      </c>
      <c r="C36" s="12" t="s">
        <v>84</v>
      </c>
      <c r="D36" s="1" t="s">
        <v>112</v>
      </c>
      <c r="E36" s="2">
        <f>(F36+G36)/H36</f>
        <v>0.8775117623995295</v>
      </c>
      <c r="F36" s="3">
        <v>153789</v>
      </c>
      <c r="G36" s="3">
        <v>61068</v>
      </c>
      <c r="H36" s="3">
        <v>244848</v>
      </c>
      <c r="I36" s="3">
        <f>61559+1</f>
        <v>61560</v>
      </c>
      <c r="J36" s="3">
        <f t="shared" si="0"/>
        <v>183288</v>
      </c>
      <c r="K36" s="22" t="s">
        <v>108</v>
      </c>
      <c r="L36" s="22" t="s">
        <v>44</v>
      </c>
      <c r="M36" s="51" t="s">
        <v>213</v>
      </c>
    </row>
    <row r="37" spans="1:13" s="52" customFormat="1" ht="143.25" customHeight="1">
      <c r="A37" s="50">
        <v>33</v>
      </c>
      <c r="B37" s="16" t="s">
        <v>93</v>
      </c>
      <c r="C37" s="12" t="s">
        <v>113</v>
      </c>
      <c r="D37" s="1" t="s">
        <v>114</v>
      </c>
      <c r="E37" s="2">
        <f>(F37+G37)/H37</f>
        <v>0.14266524436015962</v>
      </c>
      <c r="F37" s="61">
        <v>21666</v>
      </c>
      <c r="G37" s="61">
        <v>0</v>
      </c>
      <c r="H37" s="61">
        <v>151866</v>
      </c>
      <c r="I37" s="61">
        <v>92238</v>
      </c>
      <c r="J37" s="61">
        <f t="shared" si="0"/>
        <v>59628</v>
      </c>
      <c r="K37" s="22" t="s">
        <v>20</v>
      </c>
      <c r="L37" s="22" t="s">
        <v>110</v>
      </c>
      <c r="M37" s="51" t="s">
        <v>213</v>
      </c>
    </row>
    <row r="38" spans="1:13" s="52" customFormat="1" ht="225.75" customHeight="1">
      <c r="A38" s="50">
        <v>34</v>
      </c>
      <c r="B38" s="16" t="s">
        <v>93</v>
      </c>
      <c r="C38" s="12" t="s">
        <v>294</v>
      </c>
      <c r="D38" s="1" t="s">
        <v>115</v>
      </c>
      <c r="E38" s="2">
        <f>(F38+G38)/H38</f>
        <v>0.17120808757150868</v>
      </c>
      <c r="F38" s="3">
        <v>21788</v>
      </c>
      <c r="G38" s="3">
        <v>82331</v>
      </c>
      <c r="H38" s="53">
        <f>744646-24565-79631-32110-197</f>
        <v>608143</v>
      </c>
      <c r="I38" s="3">
        <f>364154-32110-79631</f>
        <v>252413</v>
      </c>
      <c r="J38" s="3">
        <f t="shared" si="0"/>
        <v>355730</v>
      </c>
      <c r="K38" s="22" t="s">
        <v>21</v>
      </c>
      <c r="L38" s="22" t="s">
        <v>190</v>
      </c>
      <c r="M38" s="51" t="s">
        <v>213</v>
      </c>
    </row>
    <row r="39" spans="1:13" s="52" customFormat="1" ht="94.5" customHeight="1">
      <c r="A39" s="50">
        <v>35</v>
      </c>
      <c r="B39" s="16" t="s">
        <v>93</v>
      </c>
      <c r="C39" s="1" t="s">
        <v>78</v>
      </c>
      <c r="D39" s="1" t="s">
        <v>202</v>
      </c>
      <c r="E39" s="2">
        <f>(F39+G39)/H39</f>
        <v>0.17307255635114066</v>
      </c>
      <c r="F39" s="3">
        <v>5192</v>
      </c>
      <c r="G39" s="3">
        <v>6241</v>
      </c>
      <c r="H39" s="3">
        <v>66059</v>
      </c>
      <c r="I39" s="3">
        <v>6011</v>
      </c>
      <c r="J39" s="3">
        <f t="shared" si="0"/>
        <v>60048</v>
      </c>
      <c r="K39" s="22" t="s">
        <v>223</v>
      </c>
      <c r="L39" s="22" t="s">
        <v>224</v>
      </c>
      <c r="M39" s="51" t="s">
        <v>213</v>
      </c>
    </row>
    <row r="40" spans="1:13" s="52" customFormat="1" ht="86.25" customHeight="1">
      <c r="A40" s="50">
        <v>36</v>
      </c>
      <c r="B40" s="16" t="s">
        <v>93</v>
      </c>
      <c r="C40" s="12" t="s">
        <v>295</v>
      </c>
      <c r="D40" s="1" t="s">
        <v>71</v>
      </c>
      <c r="E40" s="2" t="s">
        <v>109</v>
      </c>
      <c r="F40" s="3">
        <v>0</v>
      </c>
      <c r="G40" s="3">
        <v>0</v>
      </c>
      <c r="H40" s="3">
        <v>12964</v>
      </c>
      <c r="I40" s="3">
        <f>6688+1</f>
        <v>6689</v>
      </c>
      <c r="J40" s="3">
        <f t="shared" si="0"/>
        <v>6275</v>
      </c>
      <c r="K40" s="24" t="s">
        <v>18</v>
      </c>
      <c r="L40" s="24" t="s">
        <v>110</v>
      </c>
      <c r="M40" s="51" t="s">
        <v>213</v>
      </c>
    </row>
    <row r="41" spans="1:13" s="52" customFormat="1" ht="109.5" customHeight="1">
      <c r="A41" s="50">
        <v>37</v>
      </c>
      <c r="B41" s="16" t="s">
        <v>93</v>
      </c>
      <c r="C41" s="1" t="s">
        <v>296</v>
      </c>
      <c r="D41" s="1" t="s">
        <v>203</v>
      </c>
      <c r="E41" s="2">
        <f aca="true" t="shared" si="2" ref="E41:E48">(F41+G41)/H41</f>
        <v>0.6222695146515584</v>
      </c>
      <c r="F41" s="3">
        <v>87366</v>
      </c>
      <c r="G41" s="3">
        <v>61</v>
      </c>
      <c r="H41" s="3">
        <v>140497</v>
      </c>
      <c r="I41" s="3">
        <v>16056</v>
      </c>
      <c r="J41" s="3">
        <f t="shared" si="0"/>
        <v>124441</v>
      </c>
      <c r="K41" s="22" t="s">
        <v>225</v>
      </c>
      <c r="L41" s="22" t="s">
        <v>226</v>
      </c>
      <c r="M41" s="51" t="s">
        <v>213</v>
      </c>
    </row>
    <row r="42" spans="1:13" s="52" customFormat="1" ht="92.25" customHeight="1">
      <c r="A42" s="50">
        <v>38</v>
      </c>
      <c r="B42" s="16" t="s">
        <v>93</v>
      </c>
      <c r="C42" s="12" t="s">
        <v>74</v>
      </c>
      <c r="D42" s="12" t="s">
        <v>116</v>
      </c>
      <c r="E42" s="2">
        <f t="shared" si="2"/>
        <v>0.47359009442269395</v>
      </c>
      <c r="F42" s="3">
        <v>139836</v>
      </c>
      <c r="G42" s="3">
        <v>0</v>
      </c>
      <c r="H42" s="3">
        <v>295268</v>
      </c>
      <c r="I42" s="3">
        <v>35426</v>
      </c>
      <c r="J42" s="3">
        <f t="shared" si="0"/>
        <v>259842</v>
      </c>
      <c r="K42" s="18" t="s">
        <v>67</v>
      </c>
      <c r="L42" s="18" t="s">
        <v>110</v>
      </c>
      <c r="M42" s="51" t="s">
        <v>213</v>
      </c>
    </row>
    <row r="43" spans="1:13" s="52" customFormat="1" ht="67.5" customHeight="1">
      <c r="A43" s="50">
        <v>39</v>
      </c>
      <c r="B43" s="16" t="s">
        <v>93</v>
      </c>
      <c r="C43" s="12" t="s">
        <v>83</v>
      </c>
      <c r="D43" s="12" t="s">
        <v>143</v>
      </c>
      <c r="E43" s="2">
        <f t="shared" si="2"/>
        <v>0.679329757524713</v>
      </c>
      <c r="F43" s="3">
        <v>30650</v>
      </c>
      <c r="G43" s="3">
        <v>0</v>
      </c>
      <c r="H43" s="3">
        <v>45118</v>
      </c>
      <c r="I43" s="3">
        <v>8857</v>
      </c>
      <c r="J43" s="3">
        <f t="shared" si="0"/>
        <v>36261</v>
      </c>
      <c r="K43" s="22" t="s">
        <v>61</v>
      </c>
      <c r="L43" s="22" t="s">
        <v>110</v>
      </c>
      <c r="M43" s="51" t="s">
        <v>213</v>
      </c>
    </row>
    <row r="44" spans="1:13" s="52" customFormat="1" ht="107.25" customHeight="1">
      <c r="A44" s="50">
        <v>40</v>
      </c>
      <c r="B44" s="16" t="s">
        <v>93</v>
      </c>
      <c r="C44" s="1" t="s">
        <v>297</v>
      </c>
      <c r="D44" s="1" t="s">
        <v>139</v>
      </c>
      <c r="E44" s="2">
        <f t="shared" si="2"/>
        <v>0.8175145532776512</v>
      </c>
      <c r="F44" s="3">
        <v>22610</v>
      </c>
      <c r="G44" s="3">
        <v>0</v>
      </c>
      <c r="H44" s="3">
        <v>27657</v>
      </c>
      <c r="I44" s="3">
        <v>0</v>
      </c>
      <c r="J44" s="3">
        <f t="shared" si="0"/>
        <v>27657</v>
      </c>
      <c r="K44" s="22" t="s">
        <v>140</v>
      </c>
      <c r="L44" s="22" t="s">
        <v>110</v>
      </c>
      <c r="M44" s="51" t="s">
        <v>213</v>
      </c>
    </row>
    <row r="45" spans="1:13" s="52" customFormat="1" ht="105.75" customHeight="1">
      <c r="A45" s="50">
        <v>41</v>
      </c>
      <c r="B45" s="16" t="s">
        <v>93</v>
      </c>
      <c r="C45" s="1" t="s">
        <v>54</v>
      </c>
      <c r="D45" s="1" t="s">
        <v>139</v>
      </c>
      <c r="E45" s="2">
        <f t="shared" si="2"/>
        <v>0.628477366255144</v>
      </c>
      <c r="F45" s="3">
        <v>7636</v>
      </c>
      <c r="G45" s="3">
        <v>0</v>
      </c>
      <c r="H45" s="3">
        <v>12150</v>
      </c>
      <c r="I45" s="3">
        <f>10341</f>
        <v>10341</v>
      </c>
      <c r="J45" s="3">
        <f t="shared" si="0"/>
        <v>1809</v>
      </c>
      <c r="K45" s="22" t="s">
        <v>141</v>
      </c>
      <c r="L45" s="22" t="s">
        <v>110</v>
      </c>
      <c r="M45" s="51" t="s">
        <v>213</v>
      </c>
    </row>
    <row r="46" spans="1:13" s="52" customFormat="1" ht="92.25" customHeight="1">
      <c r="A46" s="50">
        <v>42</v>
      </c>
      <c r="B46" s="16" t="s">
        <v>93</v>
      </c>
      <c r="C46" s="12" t="s">
        <v>144</v>
      </c>
      <c r="D46" s="12" t="s">
        <v>145</v>
      </c>
      <c r="E46" s="2">
        <f t="shared" si="2"/>
        <v>0.8868691306496788</v>
      </c>
      <c r="F46" s="3">
        <v>31940</v>
      </c>
      <c r="G46" s="3">
        <v>358</v>
      </c>
      <c r="H46" s="3">
        <v>36418</v>
      </c>
      <c r="I46" s="3">
        <v>8857</v>
      </c>
      <c r="J46" s="3">
        <f t="shared" si="0"/>
        <v>27561</v>
      </c>
      <c r="K46" s="22" t="s">
        <v>35</v>
      </c>
      <c r="L46" s="22" t="s">
        <v>45</v>
      </c>
      <c r="M46" s="51" t="s">
        <v>213</v>
      </c>
    </row>
    <row r="47" spans="1:13" s="54" customFormat="1" ht="182.25" customHeight="1">
      <c r="A47" s="50">
        <v>43</v>
      </c>
      <c r="B47" s="16" t="s">
        <v>98</v>
      </c>
      <c r="C47" s="12" t="s">
        <v>7</v>
      </c>
      <c r="D47" s="1" t="s">
        <v>127</v>
      </c>
      <c r="E47" s="2">
        <f t="shared" si="2"/>
        <v>0.4042292240130752</v>
      </c>
      <c r="F47" s="3">
        <v>364595</v>
      </c>
      <c r="G47" s="3">
        <v>87269</v>
      </c>
      <c r="H47" s="3">
        <f>1112234+5607</f>
        <v>1117841</v>
      </c>
      <c r="I47" s="3">
        <v>434525</v>
      </c>
      <c r="J47" s="3">
        <f t="shared" si="0"/>
        <v>683316</v>
      </c>
      <c r="K47" s="24" t="s">
        <v>28</v>
      </c>
      <c r="L47" s="22" t="s">
        <v>128</v>
      </c>
      <c r="M47" s="51" t="s">
        <v>213</v>
      </c>
    </row>
    <row r="48" spans="1:13" s="54" customFormat="1" ht="180" customHeight="1">
      <c r="A48" s="50">
        <v>44</v>
      </c>
      <c r="B48" s="16" t="s">
        <v>98</v>
      </c>
      <c r="C48" s="12" t="s">
        <v>8</v>
      </c>
      <c r="D48" s="1" t="s">
        <v>89</v>
      </c>
      <c r="E48" s="2">
        <f t="shared" si="2"/>
        <v>0.1359273306175961</v>
      </c>
      <c r="F48" s="3">
        <v>67389</v>
      </c>
      <c r="G48" s="3">
        <v>25507</v>
      </c>
      <c r="H48" s="3">
        <v>683424</v>
      </c>
      <c r="I48" s="3">
        <v>279512</v>
      </c>
      <c r="J48" s="3">
        <f t="shared" si="0"/>
        <v>403912</v>
      </c>
      <c r="K48" s="62" t="s">
        <v>29</v>
      </c>
      <c r="L48" s="22" t="s">
        <v>128</v>
      </c>
      <c r="M48" s="51" t="s">
        <v>213</v>
      </c>
    </row>
    <row r="49" spans="1:13" s="54" customFormat="1" ht="127.5" customHeight="1">
      <c r="A49" s="50">
        <v>45</v>
      </c>
      <c r="B49" s="16" t="s">
        <v>98</v>
      </c>
      <c r="C49" s="12" t="s">
        <v>9</v>
      </c>
      <c r="D49" s="1" t="s">
        <v>89</v>
      </c>
      <c r="E49" s="2" t="s">
        <v>109</v>
      </c>
      <c r="F49" s="3">
        <v>520</v>
      </c>
      <c r="G49" s="3">
        <v>0</v>
      </c>
      <c r="H49" s="3">
        <v>388098</v>
      </c>
      <c r="I49" s="3">
        <v>218917</v>
      </c>
      <c r="J49" s="3">
        <f t="shared" si="0"/>
        <v>169181</v>
      </c>
      <c r="K49" s="24" t="s">
        <v>18</v>
      </c>
      <c r="L49" s="24" t="s">
        <v>110</v>
      </c>
      <c r="M49" s="51" t="s">
        <v>213</v>
      </c>
    </row>
    <row r="50" spans="1:13" s="52" customFormat="1" ht="136.5" customHeight="1">
      <c r="A50" s="50">
        <v>46</v>
      </c>
      <c r="B50" s="16" t="s">
        <v>98</v>
      </c>
      <c r="C50" s="12" t="s">
        <v>209</v>
      </c>
      <c r="D50" s="1" t="s">
        <v>124</v>
      </c>
      <c r="E50" s="2">
        <f aca="true" t="shared" si="3" ref="E50:E58">(F50+G50)/H50</f>
        <v>0.36096938775510207</v>
      </c>
      <c r="F50" s="3">
        <v>752</v>
      </c>
      <c r="G50" s="3">
        <v>380</v>
      </c>
      <c r="H50" s="3">
        <v>3136</v>
      </c>
      <c r="I50" s="3">
        <v>2318</v>
      </c>
      <c r="J50" s="3">
        <f t="shared" si="0"/>
        <v>818</v>
      </c>
      <c r="K50" s="17" t="s">
        <v>26</v>
      </c>
      <c r="L50" s="18" t="s">
        <v>53</v>
      </c>
      <c r="M50" s="51" t="s">
        <v>213</v>
      </c>
    </row>
    <row r="51" spans="1:13" s="52" customFormat="1" ht="125.25" customHeight="1">
      <c r="A51" s="50">
        <v>47</v>
      </c>
      <c r="B51" s="16" t="s">
        <v>98</v>
      </c>
      <c r="C51" s="12" t="s">
        <v>210</v>
      </c>
      <c r="D51" s="1" t="s">
        <v>124</v>
      </c>
      <c r="E51" s="2">
        <f t="shared" si="3"/>
        <v>0.22605063951970764</v>
      </c>
      <c r="F51" s="3">
        <v>683</v>
      </c>
      <c r="G51" s="3">
        <v>183</v>
      </c>
      <c r="H51" s="3">
        <v>3831</v>
      </c>
      <c r="I51" s="3">
        <f>1069+470</f>
        <v>1539</v>
      </c>
      <c r="J51" s="3">
        <f t="shared" si="0"/>
        <v>2292</v>
      </c>
      <c r="K51" s="17" t="s">
        <v>26</v>
      </c>
      <c r="L51" s="18" t="s">
        <v>212</v>
      </c>
      <c r="M51" s="51" t="s">
        <v>213</v>
      </c>
    </row>
    <row r="52" spans="1:13" s="52" customFormat="1" ht="81.75" customHeight="1">
      <c r="A52" s="50">
        <v>48</v>
      </c>
      <c r="B52" s="16" t="s">
        <v>98</v>
      </c>
      <c r="C52" s="12" t="s">
        <v>239</v>
      </c>
      <c r="D52" s="1" t="s">
        <v>124</v>
      </c>
      <c r="E52" s="2">
        <f>(F52+G52)/H52</f>
        <v>0.5275160453366107</v>
      </c>
      <c r="F52" s="3">
        <v>3863</v>
      </c>
      <c r="G52" s="3">
        <v>0</v>
      </c>
      <c r="H52" s="3">
        <v>7323</v>
      </c>
      <c r="I52" s="3">
        <v>4890</v>
      </c>
      <c r="J52" s="3">
        <f>H52-I52</f>
        <v>2433</v>
      </c>
      <c r="K52" s="22" t="s">
        <v>208</v>
      </c>
      <c r="L52" s="18" t="s">
        <v>110</v>
      </c>
      <c r="M52" s="51" t="s">
        <v>213</v>
      </c>
    </row>
    <row r="53" spans="1:13" s="52" customFormat="1" ht="132.75" customHeight="1">
      <c r="A53" s="50">
        <v>49</v>
      </c>
      <c r="B53" s="16" t="s">
        <v>98</v>
      </c>
      <c r="C53" s="12" t="s">
        <v>238</v>
      </c>
      <c r="D53" s="12" t="s">
        <v>124</v>
      </c>
      <c r="E53" s="2">
        <f t="shared" si="3"/>
        <v>1.1492597850334618</v>
      </c>
      <c r="F53" s="3">
        <v>10487</v>
      </c>
      <c r="G53" s="3">
        <v>847</v>
      </c>
      <c r="H53" s="3">
        <v>9862</v>
      </c>
      <c r="I53" s="3">
        <f>4774+142</f>
        <v>4916</v>
      </c>
      <c r="J53" s="3">
        <f t="shared" si="0"/>
        <v>4946</v>
      </c>
      <c r="K53" s="24" t="s">
        <v>27</v>
      </c>
      <c r="L53" s="22" t="s">
        <v>53</v>
      </c>
      <c r="M53" s="51" t="s">
        <v>213</v>
      </c>
    </row>
    <row r="54" spans="1:13" s="52" customFormat="1" ht="90" customHeight="1">
      <c r="A54" s="50">
        <v>50</v>
      </c>
      <c r="B54" s="16" t="s">
        <v>98</v>
      </c>
      <c r="C54" s="12" t="s">
        <v>69</v>
      </c>
      <c r="D54" s="12" t="s">
        <v>240</v>
      </c>
      <c r="E54" s="2">
        <f t="shared" si="3"/>
        <v>0.1797432239657632</v>
      </c>
      <c r="F54" s="3">
        <v>1763</v>
      </c>
      <c r="G54" s="3">
        <v>1</v>
      </c>
      <c r="H54" s="3">
        <v>9814</v>
      </c>
      <c r="I54" s="3">
        <v>4941</v>
      </c>
      <c r="J54" s="3">
        <f t="shared" si="0"/>
        <v>4873</v>
      </c>
      <c r="K54" s="22" t="s">
        <v>70</v>
      </c>
      <c r="L54" s="24" t="s">
        <v>211</v>
      </c>
      <c r="M54" s="51" t="s">
        <v>213</v>
      </c>
    </row>
    <row r="55" spans="1:13" s="52" customFormat="1" ht="84.75" customHeight="1">
      <c r="A55" s="50">
        <v>51</v>
      </c>
      <c r="B55" s="16" t="s">
        <v>99</v>
      </c>
      <c r="C55" s="1" t="s">
        <v>13</v>
      </c>
      <c r="D55" s="1" t="s">
        <v>87</v>
      </c>
      <c r="E55" s="2">
        <f t="shared" si="3"/>
        <v>0.5579440716839751</v>
      </c>
      <c r="F55" s="3">
        <v>77932</v>
      </c>
      <c r="G55" s="3">
        <v>400</v>
      </c>
      <c r="H55" s="3">
        <v>140394</v>
      </c>
      <c r="I55" s="3">
        <v>48814</v>
      </c>
      <c r="J55" s="3">
        <f t="shared" si="0"/>
        <v>91580</v>
      </c>
      <c r="K55" s="22" t="s">
        <v>66</v>
      </c>
      <c r="L55" s="22" t="s">
        <v>91</v>
      </c>
      <c r="M55" s="51" t="s">
        <v>213</v>
      </c>
    </row>
    <row r="56" spans="1:13" s="52" customFormat="1" ht="96.75" customHeight="1">
      <c r="A56" s="50">
        <v>52</v>
      </c>
      <c r="B56" s="16" t="s">
        <v>99</v>
      </c>
      <c r="C56" s="1" t="s">
        <v>12</v>
      </c>
      <c r="D56" s="1" t="s">
        <v>88</v>
      </c>
      <c r="E56" s="2">
        <f t="shared" si="3"/>
        <v>0.5852311939268461</v>
      </c>
      <c r="F56" s="3">
        <v>819</v>
      </c>
      <c r="G56" s="3">
        <v>29</v>
      </c>
      <c r="H56" s="3">
        <v>1449</v>
      </c>
      <c r="I56" s="3">
        <f>176+455</f>
        <v>631</v>
      </c>
      <c r="J56" s="3">
        <f t="shared" si="0"/>
        <v>818</v>
      </c>
      <c r="K56" s="17" t="s">
        <v>31</v>
      </c>
      <c r="L56" s="18" t="s">
        <v>189</v>
      </c>
      <c r="M56" s="51" t="s">
        <v>213</v>
      </c>
    </row>
    <row r="57" spans="1:13" s="52" customFormat="1" ht="100.5" customHeight="1">
      <c r="A57" s="50">
        <v>53</v>
      </c>
      <c r="B57" s="16" t="s">
        <v>99</v>
      </c>
      <c r="C57" s="1" t="s">
        <v>11</v>
      </c>
      <c r="D57" s="1" t="s">
        <v>88</v>
      </c>
      <c r="E57" s="2">
        <f t="shared" si="3"/>
        <v>0.8878939828080229</v>
      </c>
      <c r="F57" s="3">
        <v>4958</v>
      </c>
      <c r="G57" s="3">
        <v>0</v>
      </c>
      <c r="H57" s="3">
        <v>5584</v>
      </c>
      <c r="I57" s="3">
        <f>1406+3639</f>
        <v>5045</v>
      </c>
      <c r="J57" s="3">
        <f t="shared" si="0"/>
        <v>539</v>
      </c>
      <c r="K57" s="24" t="s">
        <v>30</v>
      </c>
      <c r="L57" s="24" t="s">
        <v>110</v>
      </c>
      <c r="M57" s="51" t="s">
        <v>213</v>
      </c>
    </row>
    <row r="58" spans="1:13" s="52" customFormat="1" ht="86.25" customHeight="1">
      <c r="A58" s="50">
        <v>54</v>
      </c>
      <c r="B58" s="16" t="s">
        <v>99</v>
      </c>
      <c r="C58" s="1" t="s">
        <v>188</v>
      </c>
      <c r="D58" s="1" t="s">
        <v>142</v>
      </c>
      <c r="E58" s="2">
        <f t="shared" si="3"/>
        <v>1.0568072380759288</v>
      </c>
      <c r="F58" s="3">
        <v>166798</v>
      </c>
      <c r="G58" s="3">
        <v>0</v>
      </c>
      <c r="H58" s="3">
        <v>157832</v>
      </c>
      <c r="I58" s="3">
        <v>82621</v>
      </c>
      <c r="J58" s="3">
        <f t="shared" si="0"/>
        <v>75211</v>
      </c>
      <c r="K58" s="24" t="s">
        <v>32</v>
      </c>
      <c r="L58" s="24" t="s">
        <v>110</v>
      </c>
      <c r="M58" s="51" t="s">
        <v>213</v>
      </c>
    </row>
    <row r="59" spans="1:13" s="52" customFormat="1" ht="85.5" customHeight="1">
      <c r="A59" s="50">
        <v>55</v>
      </c>
      <c r="B59" s="16" t="s">
        <v>92</v>
      </c>
      <c r="C59" s="12" t="s">
        <v>0</v>
      </c>
      <c r="D59" s="1" t="s">
        <v>37</v>
      </c>
      <c r="E59" s="2" t="s">
        <v>109</v>
      </c>
      <c r="F59" s="3">
        <v>0</v>
      </c>
      <c r="G59" s="3">
        <v>0</v>
      </c>
      <c r="H59" s="3">
        <v>37882</v>
      </c>
      <c r="I59" s="3">
        <f>20880+3518</f>
        <v>24398</v>
      </c>
      <c r="J59" s="3">
        <f t="shared" si="0"/>
        <v>13484</v>
      </c>
      <c r="K59" s="17" t="s">
        <v>18</v>
      </c>
      <c r="L59" s="17" t="s">
        <v>110</v>
      </c>
      <c r="M59" s="51" t="s">
        <v>213</v>
      </c>
    </row>
    <row r="60" spans="1:13" s="52" customFormat="1" ht="107.25" customHeight="1">
      <c r="A60" s="50">
        <v>56</v>
      </c>
      <c r="B60" s="16" t="s">
        <v>95</v>
      </c>
      <c r="C60" s="1" t="s">
        <v>298</v>
      </c>
      <c r="D60" s="12" t="s">
        <v>120</v>
      </c>
      <c r="E60" s="2">
        <f>(F60+G60)/H60</f>
        <v>0.21730793022392675</v>
      </c>
      <c r="F60" s="3">
        <v>3513</v>
      </c>
      <c r="G60" s="61">
        <v>0</v>
      </c>
      <c r="H60" s="3">
        <f>15119+1047</f>
        <v>16166</v>
      </c>
      <c r="I60" s="3">
        <v>11352</v>
      </c>
      <c r="J60" s="3">
        <f t="shared" si="0"/>
        <v>4814</v>
      </c>
      <c r="K60" s="22" t="s">
        <v>62</v>
      </c>
      <c r="L60" s="22" t="s">
        <v>110</v>
      </c>
      <c r="M60" s="51" t="s">
        <v>213</v>
      </c>
    </row>
    <row r="61" spans="1:13" s="52" customFormat="1" ht="125.25" customHeight="1">
      <c r="A61" s="50">
        <v>57</v>
      </c>
      <c r="B61" s="16" t="s">
        <v>96</v>
      </c>
      <c r="C61" s="1" t="s">
        <v>1</v>
      </c>
      <c r="D61" s="1" t="s">
        <v>121</v>
      </c>
      <c r="E61" s="2">
        <f>(F61+G61)/H61</f>
        <v>0.37452422983908</v>
      </c>
      <c r="F61" s="3">
        <v>36703</v>
      </c>
      <c r="G61" s="3">
        <v>0</v>
      </c>
      <c r="H61" s="3">
        <v>97999</v>
      </c>
      <c r="I61" s="3">
        <v>30723</v>
      </c>
      <c r="J61" s="3">
        <f t="shared" si="0"/>
        <v>67276</v>
      </c>
      <c r="K61" s="22" t="s">
        <v>227</v>
      </c>
      <c r="L61" s="22" t="s">
        <v>110</v>
      </c>
      <c r="M61" s="51" t="s">
        <v>213</v>
      </c>
    </row>
    <row r="62" spans="1:13" s="52" customFormat="1" ht="123" customHeight="1">
      <c r="A62" s="50">
        <v>58</v>
      </c>
      <c r="B62" s="16" t="s">
        <v>96</v>
      </c>
      <c r="C62" s="1" t="s">
        <v>2</v>
      </c>
      <c r="D62" s="1" t="s">
        <v>121</v>
      </c>
      <c r="E62" s="2">
        <f>(F62+G62)/H62</f>
        <v>0.31457604895104896</v>
      </c>
      <c r="F62" s="3">
        <v>31669</v>
      </c>
      <c r="G62" s="3">
        <v>0</v>
      </c>
      <c r="H62" s="3">
        <v>100672</v>
      </c>
      <c r="I62" s="3">
        <v>36601</v>
      </c>
      <c r="J62" s="3">
        <f t="shared" si="0"/>
        <v>64071</v>
      </c>
      <c r="K62" s="22" t="s">
        <v>228</v>
      </c>
      <c r="L62" s="22" t="s">
        <v>110</v>
      </c>
      <c r="M62" s="51" t="s">
        <v>213</v>
      </c>
    </row>
    <row r="63" spans="1:13" s="52" customFormat="1" ht="97.5" customHeight="1">
      <c r="A63" s="50">
        <v>59</v>
      </c>
      <c r="B63" s="16" t="s">
        <v>96</v>
      </c>
      <c r="C63" s="12" t="s">
        <v>299</v>
      </c>
      <c r="D63" s="1" t="s">
        <v>234</v>
      </c>
      <c r="E63" s="2" t="s">
        <v>109</v>
      </c>
      <c r="F63" s="3">
        <v>0</v>
      </c>
      <c r="G63" s="3">
        <v>0</v>
      </c>
      <c r="H63" s="3">
        <v>8559</v>
      </c>
      <c r="I63" s="3">
        <v>5374</v>
      </c>
      <c r="J63" s="3">
        <f t="shared" si="0"/>
        <v>3185</v>
      </c>
      <c r="K63" s="22" t="s">
        <v>18</v>
      </c>
      <c r="L63" s="22" t="s">
        <v>110</v>
      </c>
      <c r="M63" s="51" t="s">
        <v>213</v>
      </c>
    </row>
    <row r="64" spans="1:13" s="52" customFormat="1" ht="108.75" customHeight="1">
      <c r="A64" s="50">
        <v>60</v>
      </c>
      <c r="B64" s="16" t="s">
        <v>96</v>
      </c>
      <c r="C64" s="12" t="s">
        <v>10</v>
      </c>
      <c r="D64" s="12" t="s">
        <v>146</v>
      </c>
      <c r="E64" s="2">
        <f>(F64+G64)/H64</f>
        <v>0.3284540464365674</v>
      </c>
      <c r="F64" s="3">
        <v>28901</v>
      </c>
      <c r="G64" s="3">
        <v>0</v>
      </c>
      <c r="H64" s="3">
        <v>87991</v>
      </c>
      <c r="I64" s="3">
        <v>35301</v>
      </c>
      <c r="J64" s="3">
        <f t="shared" si="0"/>
        <v>52690</v>
      </c>
      <c r="K64" s="22" t="s">
        <v>229</v>
      </c>
      <c r="L64" s="22" t="s">
        <v>110</v>
      </c>
      <c r="M64" s="51" t="s">
        <v>213</v>
      </c>
    </row>
    <row r="65" spans="1:7" ht="15.75">
      <c r="A65" s="5"/>
      <c r="B65" s="5"/>
      <c r="F65" s="9"/>
      <c r="G65" s="9"/>
    </row>
    <row r="66" spans="1:13" s="10" customFormat="1" ht="15.75">
      <c r="A66" s="5"/>
      <c r="B66" s="5"/>
      <c r="C66" s="6"/>
      <c r="D66" s="6"/>
      <c r="E66" s="8"/>
      <c r="F66" s="9"/>
      <c r="G66" s="9"/>
      <c r="K66" s="11"/>
      <c r="L66" s="11"/>
      <c r="M66" s="27"/>
    </row>
    <row r="67" spans="1:13" s="10" customFormat="1" ht="15.75">
      <c r="A67" s="5"/>
      <c r="B67" s="5"/>
      <c r="C67" s="6"/>
      <c r="D67" s="6"/>
      <c r="E67" s="8"/>
      <c r="F67" s="8"/>
      <c r="G67" s="8"/>
      <c r="K67" s="11"/>
      <c r="L67" s="11"/>
      <c r="M67" s="27"/>
    </row>
    <row r="68" spans="1:13" s="10" customFormat="1" ht="15.75">
      <c r="A68" s="5"/>
      <c r="B68" s="5"/>
      <c r="C68" s="6"/>
      <c r="D68" s="6"/>
      <c r="E68" s="8"/>
      <c r="F68" s="8"/>
      <c r="G68" s="8"/>
      <c r="K68" s="11"/>
      <c r="L68" s="11"/>
      <c r="M68" s="27"/>
    </row>
    <row r="69" spans="1:13" s="10" customFormat="1" ht="15.75">
      <c r="A69" s="5"/>
      <c r="B69" s="5"/>
      <c r="C69" s="6"/>
      <c r="D69" s="6"/>
      <c r="E69" s="8"/>
      <c r="F69" s="8"/>
      <c r="G69" s="8"/>
      <c r="K69" s="11"/>
      <c r="L69" s="11"/>
      <c r="M69" s="27"/>
    </row>
    <row r="70" spans="1:13" s="10" customFormat="1" ht="15.75">
      <c r="A70" s="5"/>
      <c r="B70" s="5"/>
      <c r="C70" s="6"/>
      <c r="D70" s="6"/>
      <c r="E70" s="8"/>
      <c r="F70" s="8"/>
      <c r="G70" s="8"/>
      <c r="K70" s="11"/>
      <c r="L70" s="11"/>
      <c r="M70" s="27"/>
    </row>
    <row r="71" spans="1:13" s="10" customFormat="1" ht="15.75">
      <c r="A71" s="5"/>
      <c r="B71" s="5"/>
      <c r="C71" s="6"/>
      <c r="D71" s="6"/>
      <c r="E71" s="8"/>
      <c r="F71" s="8"/>
      <c r="G71" s="8"/>
      <c r="K71" s="11"/>
      <c r="L71" s="11"/>
      <c r="M71" s="27"/>
    </row>
    <row r="72" spans="1:13" s="10" customFormat="1" ht="15.75">
      <c r="A72" s="5"/>
      <c r="B72" s="5"/>
      <c r="C72" s="6"/>
      <c r="D72" s="6"/>
      <c r="E72" s="8"/>
      <c r="F72" s="8"/>
      <c r="G72" s="8"/>
      <c r="K72" s="11"/>
      <c r="L72" s="11"/>
      <c r="M72" s="27"/>
    </row>
    <row r="73" spans="1:13" s="10" customFormat="1" ht="15.75">
      <c r="A73" s="5"/>
      <c r="B73" s="5"/>
      <c r="C73" s="6"/>
      <c r="D73" s="6"/>
      <c r="E73" s="8"/>
      <c r="F73" s="8"/>
      <c r="G73" s="8"/>
      <c r="K73" s="11"/>
      <c r="L73" s="11"/>
      <c r="M73" s="27"/>
    </row>
    <row r="74" spans="1:13" s="10" customFormat="1" ht="15.75">
      <c r="A74" s="5"/>
      <c r="B74" s="5"/>
      <c r="C74" s="6"/>
      <c r="D74" s="6"/>
      <c r="E74" s="8"/>
      <c r="F74" s="8"/>
      <c r="G74" s="8"/>
      <c r="K74" s="11"/>
      <c r="L74" s="11"/>
      <c r="M74" s="27"/>
    </row>
    <row r="75" spans="1:13" s="10" customFormat="1" ht="15.75">
      <c r="A75" s="5"/>
      <c r="B75" s="5"/>
      <c r="C75" s="6"/>
      <c r="D75" s="6"/>
      <c r="E75" s="8"/>
      <c r="F75" s="8"/>
      <c r="G75" s="8"/>
      <c r="K75" s="11"/>
      <c r="L75" s="11"/>
      <c r="M75" s="27"/>
    </row>
    <row r="76" spans="1:13" s="10" customFormat="1" ht="15.75">
      <c r="A76" s="5"/>
      <c r="B76" s="5"/>
      <c r="C76" s="6"/>
      <c r="D76" s="6"/>
      <c r="E76" s="8"/>
      <c r="F76" s="8"/>
      <c r="G76" s="8"/>
      <c r="K76" s="11"/>
      <c r="L76" s="11"/>
      <c r="M76" s="27"/>
    </row>
    <row r="77" spans="1:13" s="10" customFormat="1" ht="15.75">
      <c r="A77" s="5"/>
      <c r="B77" s="5"/>
      <c r="C77" s="6"/>
      <c r="D77" s="6"/>
      <c r="E77" s="8"/>
      <c r="F77" s="8"/>
      <c r="G77" s="8"/>
      <c r="K77" s="11"/>
      <c r="L77" s="11"/>
      <c r="M77" s="27"/>
    </row>
    <row r="78" spans="1:13" s="10" customFormat="1" ht="15.75">
      <c r="A78" s="5"/>
      <c r="B78" s="5"/>
      <c r="C78" s="6"/>
      <c r="D78" s="6"/>
      <c r="E78" s="8"/>
      <c r="F78" s="8"/>
      <c r="G78" s="8"/>
      <c r="K78" s="11"/>
      <c r="L78" s="11"/>
      <c r="M78" s="27"/>
    </row>
    <row r="79" spans="1:13" s="10" customFormat="1" ht="15.75">
      <c r="A79" s="5"/>
      <c r="B79" s="5"/>
      <c r="C79" s="6"/>
      <c r="D79" s="6"/>
      <c r="E79" s="8"/>
      <c r="F79" s="8"/>
      <c r="G79" s="8"/>
      <c r="K79" s="11"/>
      <c r="L79" s="11"/>
      <c r="M79" s="27"/>
    </row>
    <row r="80" spans="1:13" s="10" customFormat="1" ht="15.75">
      <c r="A80" s="5"/>
      <c r="B80" s="5"/>
      <c r="C80" s="6"/>
      <c r="D80" s="6"/>
      <c r="E80" s="8"/>
      <c r="F80" s="8"/>
      <c r="G80" s="8"/>
      <c r="K80" s="11"/>
      <c r="L80" s="11"/>
      <c r="M80" s="27"/>
    </row>
  </sheetData>
  <sheetProtection/>
  <autoFilter ref="B3:L64"/>
  <mergeCells count="10">
    <mergeCell ref="H3:H4"/>
    <mergeCell ref="K3:K4"/>
    <mergeCell ref="L3:L4"/>
    <mergeCell ref="M3:M4"/>
    <mergeCell ref="A3:A4"/>
    <mergeCell ref="B3:B4"/>
    <mergeCell ref="C3:C4"/>
    <mergeCell ref="E3:E4"/>
    <mergeCell ref="F3:F4"/>
    <mergeCell ref="G3:G4"/>
  </mergeCells>
  <printOptions horizontalCentered="1"/>
  <pageMargins left="0.3937007874015748" right="0.2755905511811024" top="0.3937007874015748" bottom="0.3937007874015748" header="0.1968503937007874" footer="0.1968503937007874"/>
  <pageSetup fitToHeight="0" fitToWidth="1" horizontalDpi="600" verticalDpi="600" orientation="landscape" paperSize="8" scale="48" r:id="rId4"/>
  <drawing r:id="rId3"/>
  <legacyDrawing r:id="rId2"/>
</worksheet>
</file>

<file path=xl/worksheets/sheet5.xml><?xml version="1.0" encoding="utf-8"?>
<worksheet xmlns="http://schemas.openxmlformats.org/spreadsheetml/2006/main" xmlns:r="http://schemas.openxmlformats.org/officeDocument/2006/relationships">
  <dimension ref="A1:M43"/>
  <sheetViews>
    <sheetView showGridLines="0" zoomScale="55" zoomScaleNormal="55" zoomScaleSheetLayoutView="55" zoomScalePageLayoutView="0" workbookViewId="0" topLeftCell="A1">
      <selection activeCell="D11" sqref="D11"/>
    </sheetView>
  </sheetViews>
  <sheetFormatPr defaultColWidth="9.00390625" defaultRowHeight="13.5"/>
  <cols>
    <col min="1" max="1" width="4.875" style="0" customWidth="1"/>
    <col min="2" max="2" width="17.50390625" style="7" customWidth="1"/>
    <col min="3" max="3" width="25.375" style="6" customWidth="1"/>
    <col min="4" max="4" width="34.00390625" style="6" customWidth="1"/>
    <col min="5" max="5" width="14.125" style="8" customWidth="1"/>
    <col min="6" max="7" width="12.50390625" style="8" customWidth="1"/>
    <col min="8" max="10" width="12.50390625" style="10" customWidth="1"/>
    <col min="11" max="11" width="43.50390625" style="11" customWidth="1"/>
    <col min="12" max="12" width="46.125" style="11" customWidth="1"/>
    <col min="13" max="13" width="32.50390625" style="32" customWidth="1"/>
  </cols>
  <sheetData>
    <row r="1" ht="18.75">
      <c r="A1" s="15" t="s">
        <v>151</v>
      </c>
    </row>
    <row r="2" spans="2:13" ht="18.75">
      <c r="B2" s="15"/>
      <c r="C2" s="15"/>
      <c r="D2" s="15"/>
      <c r="E2" s="15"/>
      <c r="F2" s="15"/>
      <c r="G2" s="15"/>
      <c r="H2" s="15"/>
      <c r="I2" s="13"/>
      <c r="J2" s="13"/>
      <c r="K2" s="14"/>
      <c r="L2" s="14"/>
      <c r="M2" s="33"/>
    </row>
    <row r="3" spans="1:13" ht="42.75" customHeight="1">
      <c r="A3" s="80"/>
      <c r="B3" s="81" t="s">
        <v>152</v>
      </c>
      <c r="C3" s="81" t="s">
        <v>153</v>
      </c>
      <c r="D3" s="82" t="s">
        <v>36</v>
      </c>
      <c r="E3" s="76" t="s">
        <v>256</v>
      </c>
      <c r="F3" s="78" t="s">
        <v>154</v>
      </c>
      <c r="G3" s="78" t="s">
        <v>155</v>
      </c>
      <c r="H3" s="67" t="s">
        <v>156</v>
      </c>
      <c r="I3" s="34" t="s">
        <v>16</v>
      </c>
      <c r="J3" s="34"/>
      <c r="K3" s="78" t="s">
        <v>157</v>
      </c>
      <c r="L3" s="79" t="s">
        <v>158</v>
      </c>
      <c r="M3" s="78" t="s">
        <v>159</v>
      </c>
    </row>
    <row r="4" spans="1:13" ht="66.75" customHeight="1">
      <c r="A4" s="72"/>
      <c r="B4" s="73"/>
      <c r="C4" s="73"/>
      <c r="D4" s="75"/>
      <c r="E4" s="77"/>
      <c r="F4" s="69"/>
      <c r="G4" s="69"/>
      <c r="H4" s="68"/>
      <c r="I4" s="31" t="s">
        <v>160</v>
      </c>
      <c r="J4" s="31" t="s">
        <v>161</v>
      </c>
      <c r="K4" s="69"/>
      <c r="L4" s="71"/>
      <c r="M4" s="78"/>
    </row>
    <row r="5" spans="1:13" ht="48.75" customHeight="1">
      <c r="A5" s="16">
        <v>1</v>
      </c>
      <c r="B5" s="16" t="s">
        <v>162</v>
      </c>
      <c r="C5" s="35" t="s">
        <v>163</v>
      </c>
      <c r="D5" s="36" t="s">
        <v>164</v>
      </c>
      <c r="E5" s="37" t="s">
        <v>165</v>
      </c>
      <c r="F5" s="38" t="s">
        <v>166</v>
      </c>
      <c r="G5" s="38" t="s">
        <v>167</v>
      </c>
      <c r="H5" s="39" t="s">
        <v>168</v>
      </c>
      <c r="I5" s="40" t="s">
        <v>168</v>
      </c>
      <c r="J5" s="40" t="s">
        <v>168</v>
      </c>
      <c r="K5" s="41" t="s">
        <v>169</v>
      </c>
      <c r="L5" s="41" t="s">
        <v>170</v>
      </c>
      <c r="M5" s="42" t="s">
        <v>213</v>
      </c>
    </row>
    <row r="6" spans="2:13" s="10" customFormat="1" ht="30.75" customHeight="1">
      <c r="B6" s="5"/>
      <c r="C6" s="6"/>
      <c r="D6" s="6"/>
      <c r="E6" s="8"/>
      <c r="F6" s="9"/>
      <c r="G6" s="9"/>
      <c r="K6" s="11"/>
      <c r="L6" s="11"/>
      <c r="M6" s="32"/>
    </row>
    <row r="7" spans="2:13" s="43" customFormat="1" ht="26.25" customHeight="1">
      <c r="B7" s="44" t="s">
        <v>171</v>
      </c>
      <c r="C7" s="45"/>
      <c r="D7" s="45"/>
      <c r="E7" s="46"/>
      <c r="F7" s="47"/>
      <c r="G7" s="47"/>
      <c r="K7" s="11"/>
      <c r="L7" s="11"/>
      <c r="M7" s="48"/>
    </row>
    <row r="8" spans="2:13" s="43" customFormat="1" ht="26.25" customHeight="1">
      <c r="B8" s="49" t="s">
        <v>172</v>
      </c>
      <c r="C8" s="45"/>
      <c r="D8" s="45"/>
      <c r="E8" s="46"/>
      <c r="F8" s="46"/>
      <c r="G8" s="46"/>
      <c r="K8" s="11"/>
      <c r="L8" s="11"/>
      <c r="M8" s="48"/>
    </row>
    <row r="9" spans="2:13" s="43" customFormat="1" ht="26.25" customHeight="1">
      <c r="B9" s="49"/>
      <c r="C9" s="45"/>
      <c r="D9" s="45"/>
      <c r="E9" s="46"/>
      <c r="F9" s="46"/>
      <c r="G9" s="46"/>
      <c r="K9" s="11"/>
      <c r="L9" s="11"/>
      <c r="M9" s="48"/>
    </row>
    <row r="10" spans="2:13" s="43" customFormat="1" ht="26.25" customHeight="1">
      <c r="B10" s="49" t="s">
        <v>173</v>
      </c>
      <c r="C10" s="45"/>
      <c r="D10" s="45"/>
      <c r="E10" s="46"/>
      <c r="F10" s="46"/>
      <c r="G10" s="46"/>
      <c r="K10" s="11"/>
      <c r="L10" s="11"/>
      <c r="M10" s="48"/>
    </row>
    <row r="11" spans="2:13" s="43" customFormat="1" ht="26.25" customHeight="1">
      <c r="B11" s="49" t="s">
        <v>174</v>
      </c>
      <c r="C11" s="45"/>
      <c r="D11" s="45"/>
      <c r="E11" s="46"/>
      <c r="F11" s="46"/>
      <c r="G11" s="46"/>
      <c r="K11" s="11"/>
      <c r="L11" s="11"/>
      <c r="M11" s="48"/>
    </row>
    <row r="12" spans="2:13" s="43" customFormat="1" ht="26.25" customHeight="1">
      <c r="B12" s="49"/>
      <c r="C12" s="45"/>
      <c r="D12" s="45"/>
      <c r="E12" s="46"/>
      <c r="F12" s="46"/>
      <c r="G12" s="46"/>
      <c r="K12" s="11"/>
      <c r="L12" s="11"/>
      <c r="M12" s="48"/>
    </row>
    <row r="13" spans="2:13" s="43" customFormat="1" ht="26.25" customHeight="1">
      <c r="B13" s="49" t="s">
        <v>326</v>
      </c>
      <c r="C13" s="45"/>
      <c r="D13" s="45"/>
      <c r="E13" s="46"/>
      <c r="F13" s="46"/>
      <c r="G13" s="46"/>
      <c r="K13" s="11"/>
      <c r="L13" s="11"/>
      <c r="M13" s="48"/>
    </row>
    <row r="14" spans="2:13" s="43" customFormat="1" ht="26.25" customHeight="1">
      <c r="B14" s="49" t="s">
        <v>175</v>
      </c>
      <c r="C14" s="45"/>
      <c r="D14" s="45"/>
      <c r="E14" s="46"/>
      <c r="F14" s="46"/>
      <c r="G14" s="46"/>
      <c r="K14" s="11"/>
      <c r="L14" s="11"/>
      <c r="M14" s="48"/>
    </row>
    <row r="15" spans="2:13" s="43" customFormat="1" ht="26.25" customHeight="1">
      <c r="B15" s="49"/>
      <c r="C15" s="45"/>
      <c r="D15" s="45"/>
      <c r="E15" s="46"/>
      <c r="F15" s="46"/>
      <c r="G15" s="46"/>
      <c r="K15" s="11"/>
      <c r="L15" s="11"/>
      <c r="M15" s="48"/>
    </row>
    <row r="16" spans="2:13" s="43" customFormat="1" ht="26.25" customHeight="1">
      <c r="B16" s="49" t="s">
        <v>176</v>
      </c>
      <c r="C16" s="45"/>
      <c r="D16" s="45"/>
      <c r="E16" s="46"/>
      <c r="F16" s="46"/>
      <c r="G16" s="46"/>
      <c r="K16" s="11"/>
      <c r="L16" s="11"/>
      <c r="M16" s="48"/>
    </row>
    <row r="17" spans="2:13" s="43" customFormat="1" ht="26.25" customHeight="1">
      <c r="B17" s="49" t="s">
        <v>232</v>
      </c>
      <c r="C17" s="45"/>
      <c r="D17" s="45"/>
      <c r="E17" s="46"/>
      <c r="F17" s="46"/>
      <c r="G17" s="46"/>
      <c r="K17" s="11"/>
      <c r="L17" s="11"/>
      <c r="M17" s="48"/>
    </row>
    <row r="18" spans="2:13" s="43" customFormat="1" ht="26.25" customHeight="1">
      <c r="B18" s="49" t="s">
        <v>177</v>
      </c>
      <c r="C18" s="45"/>
      <c r="D18" s="45"/>
      <c r="E18" s="46"/>
      <c r="F18" s="46"/>
      <c r="G18" s="46"/>
      <c r="K18" s="11"/>
      <c r="L18" s="11"/>
      <c r="M18" s="48"/>
    </row>
    <row r="19" spans="2:13" s="43" customFormat="1" ht="26.25" customHeight="1">
      <c r="B19" s="49"/>
      <c r="C19" s="45"/>
      <c r="D19" s="45"/>
      <c r="E19" s="46"/>
      <c r="F19" s="46"/>
      <c r="G19" s="46"/>
      <c r="K19" s="11"/>
      <c r="L19" s="11"/>
      <c r="M19" s="48"/>
    </row>
    <row r="20" spans="2:13" s="43" customFormat="1" ht="26.25" customHeight="1">
      <c r="B20" s="49" t="s">
        <v>178</v>
      </c>
      <c r="C20" s="45"/>
      <c r="D20" s="45"/>
      <c r="E20" s="46"/>
      <c r="F20" s="46"/>
      <c r="G20" s="46"/>
      <c r="K20" s="11"/>
      <c r="L20" s="11"/>
      <c r="M20" s="48"/>
    </row>
    <row r="21" spans="2:13" s="43" customFormat="1" ht="26.25" customHeight="1">
      <c r="B21" s="49" t="s">
        <v>179</v>
      </c>
      <c r="C21" s="45"/>
      <c r="D21" s="45"/>
      <c r="E21" s="46"/>
      <c r="F21" s="46"/>
      <c r="G21" s="46"/>
      <c r="K21" s="11"/>
      <c r="L21" s="11"/>
      <c r="M21" s="48"/>
    </row>
    <row r="22" spans="2:13" s="43" customFormat="1" ht="26.25" customHeight="1">
      <c r="B22" s="49"/>
      <c r="C22" s="45"/>
      <c r="D22" s="45"/>
      <c r="E22" s="46"/>
      <c r="F22" s="46"/>
      <c r="G22" s="46"/>
      <c r="K22" s="11"/>
      <c r="L22" s="11"/>
      <c r="M22" s="48"/>
    </row>
    <row r="23" spans="2:13" s="43" customFormat="1" ht="26.25" customHeight="1">
      <c r="B23" s="49" t="s">
        <v>180</v>
      </c>
      <c r="C23" s="45"/>
      <c r="D23" s="45"/>
      <c r="E23" s="46"/>
      <c r="F23" s="46"/>
      <c r="G23" s="46"/>
      <c r="K23" s="11"/>
      <c r="L23" s="11"/>
      <c r="M23" s="48"/>
    </row>
    <row r="24" spans="2:13" s="43" customFormat="1" ht="26.25" customHeight="1">
      <c r="B24" s="49" t="s">
        <v>266</v>
      </c>
      <c r="C24" s="45"/>
      <c r="D24" s="45"/>
      <c r="E24" s="46"/>
      <c r="F24" s="46"/>
      <c r="G24" s="46"/>
      <c r="K24" s="11"/>
      <c r="L24" s="11"/>
      <c r="M24" s="48"/>
    </row>
    <row r="25" spans="2:13" s="43" customFormat="1" ht="26.25" customHeight="1">
      <c r="B25" s="49"/>
      <c r="C25" s="45"/>
      <c r="D25" s="45"/>
      <c r="E25" s="46"/>
      <c r="F25" s="46"/>
      <c r="G25" s="46"/>
      <c r="K25" s="11"/>
      <c r="L25" s="11"/>
      <c r="M25" s="48"/>
    </row>
    <row r="26" spans="2:13" s="43" customFormat="1" ht="26.25" customHeight="1">
      <c r="B26" s="49" t="s">
        <v>181</v>
      </c>
      <c r="C26" s="45"/>
      <c r="D26" s="45"/>
      <c r="E26" s="46"/>
      <c r="F26" s="46"/>
      <c r="G26" s="46"/>
      <c r="K26" s="11"/>
      <c r="L26" s="11"/>
      <c r="M26" s="48"/>
    </row>
    <row r="27" spans="2:13" s="43" customFormat="1" ht="26.25" customHeight="1">
      <c r="B27" s="49" t="s">
        <v>182</v>
      </c>
      <c r="C27" s="45"/>
      <c r="D27" s="45"/>
      <c r="E27" s="46"/>
      <c r="F27" s="46"/>
      <c r="G27" s="46"/>
      <c r="K27" s="11"/>
      <c r="L27" s="11"/>
      <c r="M27" s="48"/>
    </row>
    <row r="28" spans="2:13" s="43" customFormat="1" ht="26.25" customHeight="1">
      <c r="B28" s="49"/>
      <c r="C28" s="45"/>
      <c r="D28" s="45"/>
      <c r="E28" s="46"/>
      <c r="F28" s="46"/>
      <c r="G28" s="46"/>
      <c r="K28" s="11"/>
      <c r="L28" s="11"/>
      <c r="M28" s="48"/>
    </row>
    <row r="29" spans="2:13" s="43" customFormat="1" ht="26.25" customHeight="1">
      <c r="B29" s="49" t="s">
        <v>183</v>
      </c>
      <c r="C29" s="45"/>
      <c r="D29" s="45"/>
      <c r="E29" s="46"/>
      <c r="F29" s="46"/>
      <c r="G29" s="46"/>
      <c r="K29" s="11"/>
      <c r="L29" s="11"/>
      <c r="M29" s="48"/>
    </row>
    <row r="30" spans="2:13" s="43" customFormat="1" ht="26.25" customHeight="1">
      <c r="B30" s="49" t="s">
        <v>184</v>
      </c>
      <c r="C30" s="45"/>
      <c r="D30" s="45"/>
      <c r="E30" s="46"/>
      <c r="F30" s="46"/>
      <c r="G30" s="46"/>
      <c r="K30" s="11"/>
      <c r="L30" s="11"/>
      <c r="M30" s="48"/>
    </row>
    <row r="31" spans="2:13" s="43" customFormat="1" ht="26.25" customHeight="1">
      <c r="B31" s="49"/>
      <c r="C31" s="45"/>
      <c r="D31" s="45"/>
      <c r="E31" s="46"/>
      <c r="F31" s="46"/>
      <c r="G31" s="46"/>
      <c r="K31" s="11"/>
      <c r="L31" s="11"/>
      <c r="M31" s="48"/>
    </row>
    <row r="32" spans="2:13" s="43" customFormat="1" ht="26.25" customHeight="1">
      <c r="B32" s="49" t="s">
        <v>185</v>
      </c>
      <c r="C32" s="45"/>
      <c r="D32" s="45"/>
      <c r="E32" s="46"/>
      <c r="F32" s="46"/>
      <c r="G32" s="46"/>
      <c r="K32" s="11"/>
      <c r="L32" s="11"/>
      <c r="M32" s="48"/>
    </row>
    <row r="33" spans="2:13" s="43" customFormat="1" ht="26.25" customHeight="1">
      <c r="B33" s="49" t="s">
        <v>186</v>
      </c>
      <c r="C33" s="45"/>
      <c r="D33" s="45"/>
      <c r="E33" s="46"/>
      <c r="F33" s="46"/>
      <c r="G33" s="46"/>
      <c r="K33" s="11"/>
      <c r="L33" s="11"/>
      <c r="M33" s="48"/>
    </row>
    <row r="34" spans="2:13" s="43" customFormat="1" ht="26.25" customHeight="1">
      <c r="B34" s="49"/>
      <c r="C34" s="45"/>
      <c r="D34" s="45"/>
      <c r="E34" s="46"/>
      <c r="F34" s="46"/>
      <c r="G34" s="46"/>
      <c r="K34" s="11"/>
      <c r="L34" s="11"/>
      <c r="M34" s="48"/>
    </row>
    <row r="35" spans="2:13" s="43" customFormat="1" ht="26.25" customHeight="1">
      <c r="B35" s="49" t="s">
        <v>231</v>
      </c>
      <c r="C35" s="45"/>
      <c r="D35" s="45"/>
      <c r="E35" s="46"/>
      <c r="F35" s="46"/>
      <c r="G35" s="46"/>
      <c r="K35" s="11"/>
      <c r="L35" s="11"/>
      <c r="M35" s="48"/>
    </row>
    <row r="36" spans="2:13" s="43" customFormat="1" ht="26.25" customHeight="1">
      <c r="B36" s="49" t="s">
        <v>257</v>
      </c>
      <c r="C36" s="45"/>
      <c r="D36" s="45"/>
      <c r="E36" s="46"/>
      <c r="F36" s="46"/>
      <c r="G36" s="46"/>
      <c r="K36" s="11"/>
      <c r="L36" s="11"/>
      <c r="M36" s="48"/>
    </row>
    <row r="37" spans="2:13" s="43" customFormat="1" ht="26.25" customHeight="1">
      <c r="B37" s="49"/>
      <c r="C37" s="45"/>
      <c r="D37" s="45"/>
      <c r="E37" s="46"/>
      <c r="F37" s="46"/>
      <c r="G37" s="46"/>
      <c r="K37" s="11"/>
      <c r="L37" s="11"/>
      <c r="M37" s="48"/>
    </row>
    <row r="38" spans="2:13" s="43" customFormat="1" ht="26.25" customHeight="1">
      <c r="B38" s="49" t="s">
        <v>187</v>
      </c>
      <c r="C38" s="45"/>
      <c r="D38" s="45"/>
      <c r="E38" s="46"/>
      <c r="F38" s="46"/>
      <c r="G38" s="46"/>
      <c r="K38" s="11"/>
      <c r="L38" s="11"/>
      <c r="M38" s="48"/>
    </row>
    <row r="39" spans="2:13" s="43" customFormat="1" ht="26.25" customHeight="1">
      <c r="B39" s="49" t="s">
        <v>265</v>
      </c>
      <c r="C39" s="45"/>
      <c r="D39" s="45"/>
      <c r="E39" s="46"/>
      <c r="F39" s="46"/>
      <c r="G39" s="46"/>
      <c r="K39" s="11"/>
      <c r="L39" s="11"/>
      <c r="M39" s="48"/>
    </row>
    <row r="40" spans="2:13" s="10" customFormat="1" ht="14.25">
      <c r="B40" s="5"/>
      <c r="C40" s="6"/>
      <c r="D40" s="6"/>
      <c r="E40" s="8"/>
      <c r="F40" s="8"/>
      <c r="G40" s="8"/>
      <c r="K40" s="11"/>
      <c r="L40" s="11"/>
      <c r="M40" s="32"/>
    </row>
    <row r="41" spans="2:13" s="10" customFormat="1" ht="14.25">
      <c r="B41" s="5"/>
      <c r="C41" s="6"/>
      <c r="D41" s="6"/>
      <c r="E41" s="8"/>
      <c r="F41" s="8"/>
      <c r="G41" s="8"/>
      <c r="K41" s="11"/>
      <c r="L41" s="11"/>
      <c r="M41" s="32"/>
    </row>
    <row r="42" spans="2:13" s="10" customFormat="1" ht="14.25">
      <c r="B42" s="5"/>
      <c r="C42" s="6"/>
      <c r="D42" s="6"/>
      <c r="E42" s="8"/>
      <c r="F42" s="8"/>
      <c r="G42" s="8"/>
      <c r="K42" s="11"/>
      <c r="L42" s="11"/>
      <c r="M42" s="32"/>
    </row>
    <row r="43" spans="2:13" s="10" customFormat="1" ht="14.25">
      <c r="B43" s="5"/>
      <c r="C43" s="6"/>
      <c r="D43" s="6"/>
      <c r="E43" s="8"/>
      <c r="F43" s="8"/>
      <c r="G43" s="8"/>
      <c r="K43" s="11"/>
      <c r="L43" s="11"/>
      <c r="M43" s="32"/>
    </row>
  </sheetData>
  <sheetProtection/>
  <autoFilter ref="B3:L5"/>
  <mergeCells count="11">
    <mergeCell ref="F3:F4"/>
    <mergeCell ref="G3:G4"/>
    <mergeCell ref="H3:H4"/>
    <mergeCell ref="K3:K4"/>
    <mergeCell ref="L3:L4"/>
    <mergeCell ref="M3:M4"/>
    <mergeCell ref="A3:A4"/>
    <mergeCell ref="B3:B4"/>
    <mergeCell ref="C3:C4"/>
    <mergeCell ref="D3:D4"/>
    <mergeCell ref="E3:E4"/>
  </mergeCells>
  <printOptions horizontalCentered="1"/>
  <pageMargins left="0.3937007874015748" right="0.2755905511811024" top="0.5511811023622047" bottom="0.1968503937007874" header="0.11811023622047245" footer="0.1968503937007874"/>
  <pageSetup fitToHeight="0" horizontalDpi="600" verticalDpi="600" orientation="landscape"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satouyayoi</dc:creator>
  <cp:keywords/>
  <dc:description/>
  <cp:lastModifiedBy>財政局財政課</cp:lastModifiedBy>
  <cp:lastPrinted>2016-08-24T01:43:38Z</cp:lastPrinted>
  <dcterms:created xsi:type="dcterms:W3CDTF">2012-01-04T07:14:18Z</dcterms:created>
  <dcterms:modified xsi:type="dcterms:W3CDTF">2017-05-25T01:07:55Z</dcterms:modified>
  <cp:category/>
  <cp:version/>
  <cp:contentType/>
  <cp:contentStatus/>
</cp:coreProperties>
</file>